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<sst xmlns="http://schemas.openxmlformats.org/spreadsheetml/2006/main" count="259" uniqueCount="201">
  <si>
    <t xml:space="preserve">STATISTICHE DI SQUADRA </t>
  </si>
  <si>
    <t xml:space="preserve">GIORNATA </t>
  </si>
  <si>
    <t xml:space="preserve">PARTITA </t>
  </si>
  <si>
    <t>T 2</t>
  </si>
  <si>
    <t>% T2</t>
  </si>
  <si>
    <t>T3</t>
  </si>
  <si>
    <t>TL</t>
  </si>
  <si>
    <t>% TL</t>
  </si>
  <si>
    <t>% T3</t>
  </si>
  <si>
    <t>RIM. D.</t>
  </si>
  <si>
    <t>RIM. O</t>
  </si>
  <si>
    <t>PP</t>
  </si>
  <si>
    <t>RE</t>
  </si>
  <si>
    <t>STOP</t>
  </si>
  <si>
    <t>ASS</t>
  </si>
  <si>
    <t>FALLI</t>
  </si>
  <si>
    <t>Antal Pallavicini</t>
  </si>
  <si>
    <t>15su39</t>
  </si>
  <si>
    <t>8su22</t>
  </si>
  <si>
    <t>23su31</t>
  </si>
  <si>
    <t>Sibo S. Nicolò S. Agata</t>
  </si>
  <si>
    <t>15su40</t>
  </si>
  <si>
    <t>4su17</t>
  </si>
  <si>
    <t>11su17</t>
  </si>
  <si>
    <t>Pol. Monte San Pietro</t>
  </si>
  <si>
    <t>17su27</t>
  </si>
  <si>
    <t>9su24</t>
  </si>
  <si>
    <t>11su19</t>
  </si>
  <si>
    <t>Osb Muratori Castenaso</t>
  </si>
  <si>
    <t>Basket F84 Bologna</t>
  </si>
  <si>
    <t>15su33</t>
  </si>
  <si>
    <t>4su16</t>
  </si>
  <si>
    <t>28su42</t>
  </si>
  <si>
    <t>Pol. Serena 80 BO.</t>
  </si>
  <si>
    <t>12su38</t>
  </si>
  <si>
    <t>6su16</t>
  </si>
  <si>
    <t>22su32</t>
  </si>
  <si>
    <t>Libertas Alfa Promo</t>
  </si>
  <si>
    <t>Atletico Basket BO</t>
  </si>
  <si>
    <t>Imball Sasso Marconi</t>
  </si>
  <si>
    <t>CVD Basket Club</t>
  </si>
  <si>
    <t>PGS Welcome BO</t>
  </si>
  <si>
    <t>miglior prestazione</t>
  </si>
  <si>
    <t>peggior prestazione</t>
  </si>
  <si>
    <t>Giocatore</t>
  </si>
  <si>
    <t>maglia</t>
  </si>
  <si>
    <t>Giocate</t>
  </si>
  <si>
    <t>Punti</t>
  </si>
  <si>
    <t>Falli</t>
  </si>
  <si>
    <t>media f.</t>
  </si>
  <si>
    <t>media p.</t>
  </si>
  <si>
    <t>RD</t>
  </si>
  <si>
    <t>media RD</t>
  </si>
  <si>
    <t>RO</t>
  </si>
  <si>
    <t>media</t>
  </si>
  <si>
    <t>ST</t>
  </si>
  <si>
    <t xml:space="preserve">media </t>
  </si>
  <si>
    <t>Branchini Mirco</t>
  </si>
  <si>
    <t>Branchini Mauro</t>
  </si>
  <si>
    <t>media PP</t>
  </si>
  <si>
    <t>tiri liberi</t>
  </si>
  <si>
    <t>%TL</t>
  </si>
  <si>
    <t>T2</t>
  </si>
  <si>
    <t xml:space="preserve">RE </t>
  </si>
  <si>
    <t>saldo RE- PP</t>
  </si>
  <si>
    <t>0su0</t>
  </si>
  <si>
    <t>2su2</t>
  </si>
  <si>
    <t>1su2</t>
  </si>
  <si>
    <t>6su10</t>
  </si>
  <si>
    <t>6su18</t>
  </si>
  <si>
    <t>manca una partita allo</t>
  </si>
  <si>
    <t xml:space="preserve">score </t>
  </si>
  <si>
    <t>16su38</t>
  </si>
  <si>
    <t>3su11</t>
  </si>
  <si>
    <t>11su37</t>
  </si>
  <si>
    <t>6su21</t>
  </si>
  <si>
    <t>12su18</t>
  </si>
  <si>
    <t>10su17</t>
  </si>
  <si>
    <t>7su14</t>
  </si>
  <si>
    <t>20su38</t>
  </si>
  <si>
    <t>5su21</t>
  </si>
  <si>
    <t>31su37</t>
  </si>
  <si>
    <t>3su4</t>
  </si>
  <si>
    <t>10su37</t>
  </si>
  <si>
    <t>22su30</t>
  </si>
  <si>
    <t>2su11</t>
  </si>
  <si>
    <t>14su40</t>
  </si>
  <si>
    <t>5su14</t>
  </si>
  <si>
    <t>23su36</t>
  </si>
  <si>
    <t>5su8</t>
  </si>
  <si>
    <t>0su7</t>
  </si>
  <si>
    <t>14bis</t>
  </si>
  <si>
    <t>Gianni Roberto</t>
  </si>
  <si>
    <t>mancano due partite allo</t>
  </si>
  <si>
    <t>13su31</t>
  </si>
  <si>
    <t>6su22</t>
  </si>
  <si>
    <t>8su10</t>
  </si>
  <si>
    <t>22su44</t>
  </si>
  <si>
    <t>3su15</t>
  </si>
  <si>
    <t>18su25</t>
  </si>
  <si>
    <t>Matteuzzi Fabio</t>
  </si>
  <si>
    <t>Ballestra Alberto</t>
  </si>
  <si>
    <t>Giordano Andrea</t>
  </si>
  <si>
    <t>Farne' Giacomo</t>
  </si>
  <si>
    <t>Corticelli Mauro</t>
  </si>
  <si>
    <t>Garuti Michele</t>
  </si>
  <si>
    <t>Benetti Fabrizio</t>
  </si>
  <si>
    <t>Brini Stefano</t>
  </si>
  <si>
    <t>Gardini Claudio</t>
  </si>
  <si>
    <t>Baschieri Alessandro</t>
  </si>
  <si>
    <t>18su35</t>
  </si>
  <si>
    <t>31su44</t>
  </si>
  <si>
    <t>17su42</t>
  </si>
  <si>
    <t>2su21</t>
  </si>
  <si>
    <t>20su28</t>
  </si>
  <si>
    <t>10su41</t>
  </si>
  <si>
    <t>3su18</t>
  </si>
  <si>
    <t>14su18</t>
  </si>
  <si>
    <t>5su18</t>
  </si>
  <si>
    <t>18su26</t>
  </si>
  <si>
    <t>1° C 77-69</t>
  </si>
  <si>
    <t>2° T 53-60</t>
  </si>
  <si>
    <t>3° C 72-58</t>
  </si>
  <si>
    <t>4° T 65-76</t>
  </si>
  <si>
    <t>5° C 70-60</t>
  </si>
  <si>
    <t>6° T 64-79</t>
  </si>
  <si>
    <t>7° C 53-47</t>
  </si>
  <si>
    <t>8° T 50-58</t>
  </si>
  <si>
    <t>9° C 86-81</t>
  </si>
  <si>
    <t>10° T 57-61</t>
  </si>
  <si>
    <t>11° 66-60</t>
  </si>
  <si>
    <t>2° C 78-44</t>
  </si>
  <si>
    <t>3° T 52-59</t>
  </si>
  <si>
    <t>4° C 71-78</t>
  </si>
  <si>
    <t>5° T 82-74</t>
  </si>
  <si>
    <t>7° T 60-64</t>
  </si>
  <si>
    <t>6° C 43-68</t>
  </si>
  <si>
    <t>8° C 63-58</t>
  </si>
  <si>
    <t>19bis</t>
  </si>
  <si>
    <t>Giuliani Gabriele</t>
  </si>
  <si>
    <t>Piazzi Andrea</t>
  </si>
  <si>
    <t>Cavallo Sergio</t>
  </si>
  <si>
    <t>37su59</t>
  </si>
  <si>
    <t>20su49</t>
  </si>
  <si>
    <t>10su29</t>
  </si>
  <si>
    <t>22su35</t>
  </si>
  <si>
    <t>0su1</t>
  </si>
  <si>
    <t>1° T 58-64</t>
  </si>
  <si>
    <t>19su48</t>
  </si>
  <si>
    <t>2su16</t>
  </si>
  <si>
    <t>14su25</t>
  </si>
  <si>
    <t>17su59</t>
  </si>
  <si>
    <t>9su13</t>
  </si>
  <si>
    <t>9° T 56-78</t>
  </si>
  <si>
    <t>18su37</t>
  </si>
  <si>
    <t>3su26</t>
  </si>
  <si>
    <t>4su7</t>
  </si>
  <si>
    <t>1su1</t>
  </si>
  <si>
    <t>4su6</t>
  </si>
  <si>
    <t>0su2</t>
  </si>
  <si>
    <t>LoGozzo Domenico</t>
  </si>
  <si>
    <t>Pedretti Giacomo</t>
  </si>
  <si>
    <t xml:space="preserve">Pedretti Giacomo </t>
  </si>
  <si>
    <t>10° C 71-57</t>
  </si>
  <si>
    <t>16su42</t>
  </si>
  <si>
    <t>27su33</t>
  </si>
  <si>
    <t>46su60</t>
  </si>
  <si>
    <t>23su54</t>
  </si>
  <si>
    <t>11su42</t>
  </si>
  <si>
    <t>58su89</t>
  </si>
  <si>
    <t>10su32</t>
  </si>
  <si>
    <t>2su13</t>
  </si>
  <si>
    <t>24su43</t>
  </si>
  <si>
    <t>20su58</t>
  </si>
  <si>
    <t>5su35</t>
  </si>
  <si>
    <t>11° C 62-66</t>
  </si>
  <si>
    <t>16su36</t>
  </si>
  <si>
    <t>5su23</t>
  </si>
  <si>
    <t>15su23</t>
  </si>
  <si>
    <t>18bis</t>
  </si>
  <si>
    <t>Rocco G.Torrepadula</t>
  </si>
  <si>
    <t>7su32</t>
  </si>
  <si>
    <t>13su21</t>
  </si>
  <si>
    <t>15su38</t>
  </si>
  <si>
    <t>52su143</t>
  </si>
  <si>
    <t>16su63</t>
  </si>
  <si>
    <t>12su19</t>
  </si>
  <si>
    <t>22su70</t>
  </si>
  <si>
    <t>29su41</t>
  </si>
  <si>
    <t>17su33</t>
  </si>
  <si>
    <t>11su39</t>
  </si>
  <si>
    <t>17su26</t>
  </si>
  <si>
    <t>20su36</t>
  </si>
  <si>
    <t>88su103</t>
  </si>
  <si>
    <t>84su175</t>
  </si>
  <si>
    <t>2su5</t>
  </si>
  <si>
    <t>300 su755</t>
  </si>
  <si>
    <t>93su380</t>
  </si>
  <si>
    <t>368su530</t>
  </si>
  <si>
    <t>media 22</t>
  </si>
  <si>
    <t>media 7,6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</si>
</sst>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Alignment="1">
      <alignment/>
    </xf>
    <xf numFmtId="164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/>
    </xf>
    <xf numFmtId="165" fontId="0" fillId="5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3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 horizontal="right"/>
    </xf>
    <xf numFmtId="0" fontId="3" fillId="0" borderId="0" xfId="0" applyFont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76200</xdr:rowOff>
    </xdr:from>
    <xdr:to>
      <xdr:col>12</xdr:col>
      <xdr:colOff>238125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38125"/>
          <a:ext cx="7010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O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0.7109375" style="0" customWidth="1"/>
    <col min="11" max="11" width="6.28125" style="0" customWidth="1"/>
    <col min="12" max="12" width="6.8515625" style="0" customWidth="1"/>
    <col min="13" max="13" width="6.140625" style="0" customWidth="1"/>
    <col min="14" max="14" width="6.8515625" style="0" customWidth="1"/>
  </cols>
  <sheetData>
    <row r="13" spans="1:3" ht="25.5" customHeight="1">
      <c r="A13" s="2" t="s">
        <v>0</v>
      </c>
      <c r="B13" s="3"/>
      <c r="C13" s="4"/>
    </row>
    <row r="15" spans="1:15" ht="12.75">
      <c r="A15" s="6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8</v>
      </c>
      <c r="G15" s="6" t="s">
        <v>6</v>
      </c>
      <c r="H15" s="6" t="s">
        <v>7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6" t="s">
        <v>14</v>
      </c>
      <c r="O15" s="6" t="s">
        <v>15</v>
      </c>
    </row>
    <row r="16" spans="1:15" ht="12.75">
      <c r="A16" s="5" t="s">
        <v>120</v>
      </c>
      <c r="B16" s="5" t="s">
        <v>16</v>
      </c>
      <c r="C16" s="5" t="s">
        <v>17</v>
      </c>
      <c r="D16" s="8">
        <f>15/39</f>
        <v>0.38461538461538464</v>
      </c>
      <c r="E16" s="9" t="s">
        <v>18</v>
      </c>
      <c r="F16" s="8">
        <f>8/22</f>
        <v>0.36363636363636365</v>
      </c>
      <c r="G16" s="5" t="s">
        <v>19</v>
      </c>
      <c r="H16" s="34">
        <f>23/31</f>
        <v>0.7419354838709677</v>
      </c>
      <c r="I16" s="5">
        <v>20</v>
      </c>
      <c r="J16" s="5">
        <v>8</v>
      </c>
      <c r="K16" s="35">
        <v>17</v>
      </c>
      <c r="L16" s="35">
        <v>16</v>
      </c>
      <c r="M16" s="19">
        <v>4</v>
      </c>
      <c r="N16" s="5">
        <v>1</v>
      </c>
      <c r="O16" s="5">
        <v>26</v>
      </c>
    </row>
    <row r="17" spans="1:15" ht="12.75">
      <c r="A17" s="5" t="s">
        <v>121</v>
      </c>
      <c r="B17" s="5" t="s">
        <v>20</v>
      </c>
      <c r="C17" s="5" t="s">
        <v>21</v>
      </c>
      <c r="D17" s="8">
        <f>15/40</f>
        <v>0.375</v>
      </c>
      <c r="E17" s="5" t="s">
        <v>22</v>
      </c>
      <c r="F17" s="34">
        <f>4/17</f>
        <v>0.23529411764705882</v>
      </c>
      <c r="G17" s="5" t="s">
        <v>23</v>
      </c>
      <c r="H17" s="8">
        <f>11/17</f>
        <v>0.6470588235294118</v>
      </c>
      <c r="I17" s="5">
        <v>23</v>
      </c>
      <c r="J17" s="14">
        <v>3</v>
      </c>
      <c r="K17" s="5">
        <v>10</v>
      </c>
      <c r="L17" s="5">
        <v>14</v>
      </c>
      <c r="M17" s="14">
        <v>0</v>
      </c>
      <c r="N17" s="14">
        <v>0</v>
      </c>
      <c r="O17" s="5">
        <v>26</v>
      </c>
    </row>
    <row r="18" spans="1:15" ht="12.75">
      <c r="A18" s="5" t="s">
        <v>122</v>
      </c>
      <c r="B18" s="5" t="s">
        <v>24</v>
      </c>
      <c r="C18" s="5" t="s">
        <v>25</v>
      </c>
      <c r="D18" s="17">
        <f>17/27</f>
        <v>0.6296296296296297</v>
      </c>
      <c r="E18" s="5" t="s">
        <v>26</v>
      </c>
      <c r="F18" s="17">
        <f>9/24</f>
        <v>0.375</v>
      </c>
      <c r="G18" s="5" t="s">
        <v>27</v>
      </c>
      <c r="H18" s="34">
        <f>11/19</f>
        <v>0.5789473684210527</v>
      </c>
      <c r="I18" s="35">
        <v>18</v>
      </c>
      <c r="J18" s="10">
        <v>9</v>
      </c>
      <c r="K18" s="19">
        <v>8</v>
      </c>
      <c r="L18" s="5">
        <v>14</v>
      </c>
      <c r="M18" s="5">
        <v>1</v>
      </c>
      <c r="N18" s="5">
        <v>1</v>
      </c>
      <c r="O18" s="35">
        <v>21</v>
      </c>
    </row>
    <row r="19" spans="1:15" ht="12.75">
      <c r="A19" s="5" t="s">
        <v>123</v>
      </c>
      <c r="B19" s="10" t="s">
        <v>28</v>
      </c>
      <c r="C19" s="5"/>
      <c r="D19" s="8"/>
      <c r="E19" s="5"/>
      <c r="F19" s="8"/>
      <c r="G19" s="5"/>
      <c r="H19" s="8"/>
      <c r="I19" s="5"/>
      <c r="J19" s="5"/>
      <c r="K19" s="5"/>
      <c r="L19" s="5"/>
      <c r="M19" s="5"/>
      <c r="N19" s="5"/>
      <c r="O19" s="10">
        <v>25</v>
      </c>
    </row>
    <row r="20" spans="1:15" ht="12.75">
      <c r="A20" s="5" t="s">
        <v>124</v>
      </c>
      <c r="B20" s="10" t="s">
        <v>29</v>
      </c>
      <c r="C20" s="10" t="s">
        <v>30</v>
      </c>
      <c r="D20" s="8">
        <f>15/33</f>
        <v>0.45454545454545453</v>
      </c>
      <c r="E20" s="10" t="s">
        <v>31</v>
      </c>
      <c r="F20" s="8">
        <f>4/16</f>
        <v>0.25</v>
      </c>
      <c r="G20" s="10" t="s">
        <v>32</v>
      </c>
      <c r="H20" s="8">
        <f>28/42</f>
        <v>0.6666666666666666</v>
      </c>
      <c r="I20" s="10">
        <v>30</v>
      </c>
      <c r="J20" s="10">
        <v>6</v>
      </c>
      <c r="K20" s="10">
        <v>17</v>
      </c>
      <c r="L20" s="10">
        <v>9</v>
      </c>
      <c r="M20" s="10">
        <v>3</v>
      </c>
      <c r="N20" s="10">
        <v>2</v>
      </c>
      <c r="O20" s="10">
        <v>24</v>
      </c>
    </row>
    <row r="21" spans="1:15" ht="12.75">
      <c r="A21" s="5" t="s">
        <v>125</v>
      </c>
      <c r="B21" s="10" t="s">
        <v>33</v>
      </c>
      <c r="C21" s="10" t="s">
        <v>34</v>
      </c>
      <c r="D21" s="34">
        <f>12/38</f>
        <v>0.3157894736842105</v>
      </c>
      <c r="E21" s="10" t="s">
        <v>35</v>
      </c>
      <c r="F21" s="17">
        <f>6/16</f>
        <v>0.375</v>
      </c>
      <c r="G21" s="10" t="s">
        <v>36</v>
      </c>
      <c r="H21" s="8">
        <f>22/32</f>
        <v>0.6875</v>
      </c>
      <c r="I21" s="10">
        <v>20</v>
      </c>
      <c r="J21" s="10">
        <v>5</v>
      </c>
      <c r="K21" s="10">
        <v>10</v>
      </c>
      <c r="L21" s="10">
        <v>13</v>
      </c>
      <c r="M21" s="10">
        <v>2</v>
      </c>
      <c r="N21" s="15">
        <v>0</v>
      </c>
      <c r="O21" s="10">
        <v>27</v>
      </c>
    </row>
    <row r="22" spans="1:15" ht="12.75">
      <c r="A22" s="5" t="s">
        <v>126</v>
      </c>
      <c r="B22" s="10" t="s">
        <v>37</v>
      </c>
      <c r="C22" s="10" t="s">
        <v>72</v>
      </c>
      <c r="D22" s="8">
        <v>0.42</v>
      </c>
      <c r="E22" s="10" t="s">
        <v>73</v>
      </c>
      <c r="F22" s="8">
        <v>0.27</v>
      </c>
      <c r="G22" s="10" t="s">
        <v>76</v>
      </c>
      <c r="H22" s="8">
        <v>0.666</v>
      </c>
      <c r="I22" s="10">
        <v>25</v>
      </c>
      <c r="J22" s="10">
        <v>6</v>
      </c>
      <c r="K22" s="15">
        <v>26</v>
      </c>
      <c r="L22" s="18">
        <v>22</v>
      </c>
      <c r="M22" s="10">
        <v>2</v>
      </c>
      <c r="N22" s="10">
        <v>4</v>
      </c>
      <c r="O22" s="10">
        <v>20</v>
      </c>
    </row>
    <row r="23" spans="1:15" ht="12.75">
      <c r="A23" s="5" t="s">
        <v>127</v>
      </c>
      <c r="B23" s="10" t="s">
        <v>38</v>
      </c>
      <c r="C23" s="10" t="s">
        <v>74</v>
      </c>
      <c r="D23" s="34">
        <v>0.297</v>
      </c>
      <c r="E23" s="10" t="s">
        <v>75</v>
      </c>
      <c r="F23" s="8">
        <v>0.286</v>
      </c>
      <c r="G23" s="10" t="s">
        <v>77</v>
      </c>
      <c r="H23" s="8">
        <v>0.588</v>
      </c>
      <c r="I23" s="10">
        <v>26</v>
      </c>
      <c r="J23" s="10">
        <v>5</v>
      </c>
      <c r="K23" s="10">
        <v>17</v>
      </c>
      <c r="L23" s="10">
        <v>9</v>
      </c>
      <c r="M23" s="10">
        <v>3</v>
      </c>
      <c r="N23" s="10">
        <v>1</v>
      </c>
      <c r="O23" s="36">
        <v>28</v>
      </c>
    </row>
    <row r="24" spans="1:15" ht="12.75">
      <c r="A24" s="5" t="s">
        <v>128</v>
      </c>
      <c r="B24" s="10" t="s">
        <v>39</v>
      </c>
      <c r="C24" s="10" t="s">
        <v>79</v>
      </c>
      <c r="D24" s="8">
        <v>0.526</v>
      </c>
      <c r="E24" s="5" t="s">
        <v>80</v>
      </c>
      <c r="F24" s="8">
        <v>0.238</v>
      </c>
      <c r="G24" s="5" t="s">
        <v>81</v>
      </c>
      <c r="H24" s="17">
        <v>0.838</v>
      </c>
      <c r="I24" s="5">
        <v>19</v>
      </c>
      <c r="J24" s="35">
        <v>9</v>
      </c>
      <c r="K24" s="5">
        <v>9</v>
      </c>
      <c r="L24" s="5">
        <v>13</v>
      </c>
      <c r="M24" s="19">
        <v>4</v>
      </c>
      <c r="N24" s="35">
        <v>5</v>
      </c>
      <c r="O24" s="37">
        <v>29</v>
      </c>
    </row>
    <row r="25" spans="1:15" ht="12.75">
      <c r="A25" s="5" t="s">
        <v>129</v>
      </c>
      <c r="B25" s="10" t="s">
        <v>40</v>
      </c>
      <c r="C25" s="10" t="s">
        <v>83</v>
      </c>
      <c r="D25" s="34">
        <v>0.27</v>
      </c>
      <c r="E25" s="5" t="s">
        <v>80</v>
      </c>
      <c r="F25" s="8">
        <v>0.238</v>
      </c>
      <c r="G25" s="5" t="s">
        <v>84</v>
      </c>
      <c r="H25" s="8">
        <v>0.733</v>
      </c>
      <c r="I25" s="5">
        <v>20</v>
      </c>
      <c r="J25" s="5">
        <v>6</v>
      </c>
      <c r="K25" s="5">
        <v>11</v>
      </c>
      <c r="L25" s="5">
        <v>13</v>
      </c>
      <c r="M25" s="5">
        <v>3</v>
      </c>
      <c r="N25" s="5">
        <v>1</v>
      </c>
      <c r="O25" s="35">
        <v>30</v>
      </c>
    </row>
    <row r="26" spans="1:15" ht="12.75">
      <c r="A26" s="5" t="s">
        <v>130</v>
      </c>
      <c r="B26" s="10" t="s">
        <v>41</v>
      </c>
      <c r="C26" s="10" t="s">
        <v>86</v>
      </c>
      <c r="D26" s="8">
        <v>0.35</v>
      </c>
      <c r="E26" s="5" t="s">
        <v>87</v>
      </c>
      <c r="F26" s="8">
        <v>0.357</v>
      </c>
      <c r="G26" s="5" t="s">
        <v>88</v>
      </c>
      <c r="H26" s="8">
        <v>0.639</v>
      </c>
      <c r="I26" s="5">
        <v>25</v>
      </c>
      <c r="J26" s="35">
        <v>12</v>
      </c>
      <c r="K26" s="5">
        <v>20</v>
      </c>
      <c r="L26" s="35">
        <v>8</v>
      </c>
      <c r="M26" s="5">
        <v>2</v>
      </c>
      <c r="N26" s="35">
        <v>5</v>
      </c>
      <c r="O26" s="35">
        <v>19</v>
      </c>
    </row>
    <row r="27" spans="1:15" ht="12.75">
      <c r="A27" s="5" t="s">
        <v>131</v>
      </c>
      <c r="B27" s="5" t="s">
        <v>20</v>
      </c>
      <c r="D27" s="7"/>
      <c r="F27" s="7"/>
      <c r="H27" s="7"/>
      <c r="O27" s="39">
        <v>17</v>
      </c>
    </row>
    <row r="28" spans="1:15" ht="12.75">
      <c r="A28" s="5" t="s">
        <v>132</v>
      </c>
      <c r="B28" s="5" t="s">
        <v>24</v>
      </c>
      <c r="C28" s="10" t="s">
        <v>94</v>
      </c>
      <c r="D28" s="8">
        <v>0.419</v>
      </c>
      <c r="E28" s="5" t="s">
        <v>95</v>
      </c>
      <c r="F28" s="8">
        <v>0.273</v>
      </c>
      <c r="G28" s="5" t="s">
        <v>96</v>
      </c>
      <c r="H28" s="8">
        <v>0.8</v>
      </c>
      <c r="I28" s="35">
        <v>18</v>
      </c>
      <c r="J28" s="5">
        <v>7</v>
      </c>
      <c r="K28" s="5">
        <v>18</v>
      </c>
      <c r="L28" s="5">
        <v>14</v>
      </c>
      <c r="M28" s="14">
        <v>0</v>
      </c>
      <c r="N28" s="5">
        <v>1</v>
      </c>
      <c r="O28" s="35">
        <v>22</v>
      </c>
    </row>
    <row r="29" spans="1:15" ht="12.75">
      <c r="A29" s="5" t="s">
        <v>133</v>
      </c>
      <c r="B29" s="10" t="s">
        <v>28</v>
      </c>
      <c r="C29" s="10" t="s">
        <v>97</v>
      </c>
      <c r="D29" s="8">
        <v>0.5</v>
      </c>
      <c r="E29" s="5" t="s">
        <v>98</v>
      </c>
      <c r="F29" s="34">
        <v>0.2</v>
      </c>
      <c r="G29" s="5" t="s">
        <v>99</v>
      </c>
      <c r="H29" s="8">
        <v>0.72</v>
      </c>
      <c r="I29" s="5">
        <v>20</v>
      </c>
      <c r="J29" s="5">
        <v>10</v>
      </c>
      <c r="K29" s="5">
        <v>17</v>
      </c>
      <c r="L29" s="14">
        <v>7</v>
      </c>
      <c r="M29" s="5">
        <v>3</v>
      </c>
      <c r="N29" s="35">
        <v>5</v>
      </c>
      <c r="O29" s="35">
        <v>20</v>
      </c>
    </row>
    <row r="30" spans="1:15" ht="12.75">
      <c r="A30" s="5" t="s">
        <v>134</v>
      </c>
      <c r="B30" s="10" t="s">
        <v>29</v>
      </c>
      <c r="C30" s="10" t="s">
        <v>110</v>
      </c>
      <c r="D30" s="8">
        <v>0.514</v>
      </c>
      <c r="E30" s="5" t="s">
        <v>80</v>
      </c>
      <c r="F30" s="8">
        <v>0.238</v>
      </c>
      <c r="G30" s="5" t="s">
        <v>111</v>
      </c>
      <c r="H30" s="8">
        <v>0.705</v>
      </c>
      <c r="I30" s="5">
        <v>27</v>
      </c>
      <c r="J30" s="5">
        <v>5</v>
      </c>
      <c r="K30" s="19">
        <v>8</v>
      </c>
      <c r="L30" s="5">
        <v>10</v>
      </c>
      <c r="M30" s="5">
        <v>3</v>
      </c>
      <c r="N30" s="14">
        <v>0</v>
      </c>
      <c r="O30" s="35">
        <v>27</v>
      </c>
    </row>
    <row r="31" spans="1:15" ht="12.75">
      <c r="A31" s="5" t="s">
        <v>135</v>
      </c>
      <c r="B31" s="10" t="s">
        <v>37</v>
      </c>
      <c r="C31" s="10" t="s">
        <v>112</v>
      </c>
      <c r="D31" s="8">
        <v>0.405</v>
      </c>
      <c r="E31" s="5" t="s">
        <v>113</v>
      </c>
      <c r="F31" s="13">
        <v>0.095</v>
      </c>
      <c r="G31" s="5" t="s">
        <v>114</v>
      </c>
      <c r="H31" s="8">
        <v>0.714</v>
      </c>
      <c r="I31" s="19">
        <v>32</v>
      </c>
      <c r="J31" s="5">
        <v>9</v>
      </c>
      <c r="K31" s="5">
        <v>11</v>
      </c>
      <c r="L31" s="5">
        <v>9</v>
      </c>
      <c r="M31" s="5">
        <v>1</v>
      </c>
      <c r="N31" s="5">
        <v>4</v>
      </c>
      <c r="O31" s="5">
        <v>26</v>
      </c>
    </row>
    <row r="32" spans="1:15" ht="12.75">
      <c r="A32" s="5" t="s">
        <v>136</v>
      </c>
      <c r="B32" s="10" t="s">
        <v>33</v>
      </c>
      <c r="C32" s="5" t="s">
        <v>115</v>
      </c>
      <c r="D32" s="13">
        <f>10/41</f>
        <v>0.24390243902439024</v>
      </c>
      <c r="E32" s="5" t="s">
        <v>116</v>
      </c>
      <c r="F32" s="8">
        <v>0.167</v>
      </c>
      <c r="G32" s="5" t="s">
        <v>117</v>
      </c>
      <c r="H32" s="8">
        <v>0.778</v>
      </c>
      <c r="I32" s="5">
        <v>20</v>
      </c>
      <c r="J32" s="5">
        <v>5</v>
      </c>
      <c r="K32" s="5">
        <v>14</v>
      </c>
      <c r="L32" s="5">
        <v>9</v>
      </c>
      <c r="M32" s="14">
        <v>0</v>
      </c>
      <c r="N32" s="5">
        <v>1</v>
      </c>
      <c r="O32" s="14">
        <v>32</v>
      </c>
    </row>
    <row r="33" spans="1:15" ht="12.75">
      <c r="A33" s="5" t="s">
        <v>137</v>
      </c>
      <c r="B33" s="10" t="s">
        <v>38</v>
      </c>
      <c r="C33" s="5" t="s">
        <v>30</v>
      </c>
      <c r="D33" s="8">
        <v>0.455</v>
      </c>
      <c r="E33" s="5" t="s">
        <v>118</v>
      </c>
      <c r="F33" s="8">
        <v>0.278</v>
      </c>
      <c r="G33" s="5" t="s">
        <v>119</v>
      </c>
      <c r="H33" s="8">
        <v>0.692</v>
      </c>
      <c r="I33" s="5">
        <v>21</v>
      </c>
      <c r="J33" s="5">
        <v>4</v>
      </c>
      <c r="K33" s="5">
        <v>15</v>
      </c>
      <c r="L33" s="5">
        <v>11</v>
      </c>
      <c r="M33" s="5">
        <v>1</v>
      </c>
      <c r="N33" s="5">
        <v>2</v>
      </c>
      <c r="O33" s="5">
        <v>21</v>
      </c>
    </row>
    <row r="34" spans="1:15" ht="12.75">
      <c r="A34" s="5" t="s">
        <v>147</v>
      </c>
      <c r="B34" s="5" t="s">
        <v>16</v>
      </c>
      <c r="C34" s="5" t="s">
        <v>148</v>
      </c>
      <c r="D34" s="8">
        <v>0.396</v>
      </c>
      <c r="E34" s="5" t="s">
        <v>149</v>
      </c>
      <c r="F34" s="8">
        <v>0.125</v>
      </c>
      <c r="G34" s="5" t="s">
        <v>150</v>
      </c>
      <c r="H34" s="13">
        <v>0.56</v>
      </c>
      <c r="I34" s="5">
        <v>21</v>
      </c>
      <c r="J34" s="19">
        <v>13</v>
      </c>
      <c r="K34" s="5">
        <v>12</v>
      </c>
      <c r="L34" s="5">
        <v>17</v>
      </c>
      <c r="M34" s="5">
        <v>2</v>
      </c>
      <c r="N34" s="19">
        <v>6</v>
      </c>
      <c r="O34" s="5">
        <v>27</v>
      </c>
    </row>
    <row r="35" spans="1:15" ht="12.75">
      <c r="A35" s="5" t="s">
        <v>153</v>
      </c>
      <c r="B35" s="10" t="s">
        <v>39</v>
      </c>
      <c r="C35" s="5" t="s">
        <v>154</v>
      </c>
      <c r="D35" s="8">
        <v>0.486</v>
      </c>
      <c r="E35" s="5" t="s">
        <v>155</v>
      </c>
      <c r="F35" s="8">
        <v>0.115</v>
      </c>
      <c r="G35" s="5" t="s">
        <v>77</v>
      </c>
      <c r="H35" s="8">
        <v>0.588</v>
      </c>
      <c r="I35" s="14">
        <v>14</v>
      </c>
      <c r="J35" s="5">
        <v>12</v>
      </c>
      <c r="K35" s="5">
        <v>17</v>
      </c>
      <c r="L35" s="5">
        <v>14</v>
      </c>
      <c r="M35" s="5">
        <v>3</v>
      </c>
      <c r="N35" s="5">
        <v>3</v>
      </c>
      <c r="O35" s="5">
        <v>25</v>
      </c>
    </row>
    <row r="36" spans="1:15" ht="12.75">
      <c r="A36" s="5" t="s">
        <v>163</v>
      </c>
      <c r="B36" s="10" t="s">
        <v>40</v>
      </c>
      <c r="C36" s="5" t="s">
        <v>164</v>
      </c>
      <c r="D36" s="8">
        <v>0.381</v>
      </c>
      <c r="E36" s="5" t="s">
        <v>22</v>
      </c>
      <c r="F36" s="8">
        <v>0.235</v>
      </c>
      <c r="G36" s="5" t="s">
        <v>165</v>
      </c>
      <c r="H36" s="8">
        <v>0.818</v>
      </c>
      <c r="I36" s="5">
        <v>22</v>
      </c>
      <c r="J36" s="5">
        <v>8</v>
      </c>
      <c r="K36" s="5">
        <v>17</v>
      </c>
      <c r="L36" s="5">
        <v>16</v>
      </c>
      <c r="M36" s="5">
        <v>1</v>
      </c>
      <c r="N36" s="5">
        <v>2</v>
      </c>
      <c r="O36" s="5">
        <v>31</v>
      </c>
    </row>
    <row r="37" spans="1:15" ht="12.75">
      <c r="A37" s="5" t="s">
        <v>175</v>
      </c>
      <c r="B37" s="10" t="s">
        <v>41</v>
      </c>
      <c r="C37" s="5" t="s">
        <v>176</v>
      </c>
      <c r="D37" s="8">
        <v>0.444</v>
      </c>
      <c r="E37" s="5" t="s">
        <v>177</v>
      </c>
      <c r="F37" s="8">
        <v>0.217</v>
      </c>
      <c r="G37" s="5" t="s">
        <v>178</v>
      </c>
      <c r="H37" s="8">
        <v>0.652</v>
      </c>
      <c r="I37" s="5">
        <v>19</v>
      </c>
      <c r="J37" s="5">
        <v>10</v>
      </c>
      <c r="K37" s="5">
        <v>13</v>
      </c>
      <c r="L37" s="5">
        <v>10</v>
      </c>
      <c r="M37" s="14">
        <v>0</v>
      </c>
      <c r="N37" s="5">
        <v>4</v>
      </c>
      <c r="O37" s="5">
        <v>20</v>
      </c>
    </row>
    <row r="38" spans="1:15" ht="12.75">
      <c r="A38" s="5"/>
      <c r="B38" s="10"/>
      <c r="C38" s="5"/>
      <c r="D38" s="8"/>
      <c r="E38" s="5"/>
      <c r="F38" s="8"/>
      <c r="G38" s="5"/>
      <c r="H38" s="8"/>
      <c r="I38" s="5"/>
      <c r="J38" s="5"/>
      <c r="K38" s="5"/>
      <c r="L38" s="5"/>
      <c r="M38" s="35"/>
      <c r="N38" s="5"/>
      <c r="O38" s="5"/>
    </row>
    <row r="39" spans="1:15" ht="12.75">
      <c r="A39" s="5"/>
      <c r="B39" s="10"/>
      <c r="C39" s="5" t="s">
        <v>196</v>
      </c>
      <c r="D39" s="8">
        <v>0.397</v>
      </c>
      <c r="E39" s="5" t="s">
        <v>197</v>
      </c>
      <c r="F39" s="8">
        <v>0.244</v>
      </c>
      <c r="G39" s="5" t="s">
        <v>198</v>
      </c>
      <c r="H39" s="8">
        <v>0.694</v>
      </c>
      <c r="I39" s="5">
        <v>440</v>
      </c>
      <c r="J39" s="5">
        <v>152</v>
      </c>
      <c r="K39" s="5">
        <v>287</v>
      </c>
      <c r="L39" s="5">
        <v>248</v>
      </c>
      <c r="M39" s="35">
        <v>38</v>
      </c>
      <c r="N39" s="5">
        <v>48</v>
      </c>
      <c r="O39" s="5">
        <v>543</v>
      </c>
    </row>
    <row r="40" spans="1:15" ht="12.75">
      <c r="A40" s="5"/>
      <c r="B40" s="5"/>
      <c r="I40" t="s">
        <v>199</v>
      </c>
      <c r="J40" t="s">
        <v>200</v>
      </c>
      <c r="K40" s="20">
        <f>287/20</f>
        <v>14.35</v>
      </c>
      <c r="L40" s="5">
        <f>248/20</f>
        <v>12.4</v>
      </c>
      <c r="M40" s="5">
        <f>38/20</f>
        <v>1.9</v>
      </c>
      <c r="N40" s="5">
        <f>48/20</f>
        <v>2.4</v>
      </c>
      <c r="O40" s="20">
        <f>543/22</f>
        <v>24.681818181818183</v>
      </c>
    </row>
    <row r="41" spans="2:3" ht="12.75">
      <c r="B41" t="s">
        <v>42</v>
      </c>
      <c r="C41" s="11"/>
    </row>
    <row r="42" spans="2:3" ht="12.75">
      <c r="B42" t="s">
        <v>43</v>
      </c>
      <c r="C42" s="12"/>
    </row>
    <row r="45" spans="1:2" ht="12.75">
      <c r="A45" s="5"/>
      <c r="B45" s="47"/>
    </row>
    <row r="46" spans="1:14" ht="12.75">
      <c r="A46" s="6" t="s">
        <v>45</v>
      </c>
      <c r="B46" s="6" t="s">
        <v>44</v>
      </c>
      <c r="C46" s="6" t="s">
        <v>46</v>
      </c>
      <c r="D46" s="6" t="s">
        <v>47</v>
      </c>
      <c r="E46" s="6" t="s">
        <v>50</v>
      </c>
      <c r="F46" s="6" t="s">
        <v>48</v>
      </c>
      <c r="G46" s="6" t="s">
        <v>49</v>
      </c>
      <c r="H46" s="6" t="s">
        <v>51</v>
      </c>
      <c r="I46" s="6" t="s">
        <v>52</v>
      </c>
      <c r="J46" s="6" t="s">
        <v>53</v>
      </c>
      <c r="K46" s="6" t="s">
        <v>54</v>
      </c>
      <c r="L46" s="6" t="s">
        <v>14</v>
      </c>
      <c r="M46" s="6" t="s">
        <v>55</v>
      </c>
      <c r="N46" s="6" t="s">
        <v>56</v>
      </c>
    </row>
    <row r="47" spans="1:14" ht="12.75">
      <c r="A47" s="5">
        <v>4</v>
      </c>
      <c r="B47" s="5" t="s">
        <v>102</v>
      </c>
      <c r="C47" s="5">
        <v>16</v>
      </c>
      <c r="D47" s="5">
        <v>34</v>
      </c>
      <c r="E47" s="20">
        <f>34/16</f>
        <v>2.125</v>
      </c>
      <c r="F47" s="5">
        <v>19</v>
      </c>
      <c r="G47" s="20">
        <f>19/16</f>
        <v>1.1875</v>
      </c>
      <c r="H47" s="23">
        <v>15</v>
      </c>
      <c r="I47" s="24">
        <f>15/15</f>
        <v>1</v>
      </c>
      <c r="J47" s="23">
        <v>3</v>
      </c>
      <c r="K47" s="24">
        <f>3/15</f>
        <v>0.2</v>
      </c>
      <c r="L47" s="23">
        <v>7</v>
      </c>
      <c r="M47" s="23">
        <v>0</v>
      </c>
      <c r="N47" s="24">
        <f>0/15</f>
        <v>0</v>
      </c>
    </row>
    <row r="48" spans="1:15" ht="12.75">
      <c r="A48" s="5">
        <v>5</v>
      </c>
      <c r="B48" s="5" t="s">
        <v>57</v>
      </c>
      <c r="C48" s="5">
        <v>6</v>
      </c>
      <c r="D48" s="5">
        <v>14</v>
      </c>
      <c r="E48" s="20">
        <f>14/6</f>
        <v>2.3333333333333335</v>
      </c>
      <c r="F48" s="5">
        <v>10</v>
      </c>
      <c r="G48" s="20">
        <f>10/6</f>
        <v>1.6666666666666667</v>
      </c>
      <c r="H48" s="23">
        <v>8</v>
      </c>
      <c r="I48" s="24">
        <f>8/5</f>
        <v>1.6</v>
      </c>
      <c r="J48" s="23">
        <v>1</v>
      </c>
      <c r="K48" s="24">
        <f>1/5</f>
        <v>0.2</v>
      </c>
      <c r="L48" s="23">
        <v>0</v>
      </c>
      <c r="M48" s="23">
        <v>0</v>
      </c>
      <c r="N48" s="24">
        <f>0/5</f>
        <v>0</v>
      </c>
      <c r="O48" s="10"/>
    </row>
    <row r="49" spans="1:15" ht="12.75">
      <c r="A49" s="5">
        <v>6</v>
      </c>
      <c r="B49" s="5" t="s">
        <v>103</v>
      </c>
      <c r="C49" s="5">
        <v>21</v>
      </c>
      <c r="D49" s="5">
        <v>133</v>
      </c>
      <c r="E49" s="20">
        <f>133/21</f>
        <v>6.333333333333333</v>
      </c>
      <c r="F49" s="5">
        <v>60</v>
      </c>
      <c r="G49" s="20">
        <f>60/21</f>
        <v>2.857142857142857</v>
      </c>
      <c r="H49" s="40">
        <v>55</v>
      </c>
      <c r="I49" s="42">
        <f>55/19</f>
        <v>2.8947368421052633</v>
      </c>
      <c r="J49" s="40">
        <v>11</v>
      </c>
      <c r="K49" s="42">
        <f>11/19</f>
        <v>0.5789473684210527</v>
      </c>
      <c r="L49" s="40">
        <v>5</v>
      </c>
      <c r="M49" s="40">
        <v>0</v>
      </c>
      <c r="N49" s="42">
        <f>0/19</f>
        <v>0</v>
      </c>
      <c r="O49" s="10"/>
    </row>
    <row r="50" spans="1:14" ht="12.75">
      <c r="A50" s="5">
        <v>8</v>
      </c>
      <c r="B50" s="5" t="s">
        <v>104</v>
      </c>
      <c r="C50" s="5">
        <v>13</v>
      </c>
      <c r="D50" s="5">
        <v>49</v>
      </c>
      <c r="E50" s="20">
        <f>49/13</f>
        <v>3.769230769230769</v>
      </c>
      <c r="F50" s="10">
        <v>26</v>
      </c>
      <c r="G50" s="20">
        <f>26/13</f>
        <v>2</v>
      </c>
      <c r="H50" s="10">
        <v>17</v>
      </c>
      <c r="I50" s="20">
        <f>17/13</f>
        <v>1.3076923076923077</v>
      </c>
      <c r="J50" s="5">
        <v>9</v>
      </c>
      <c r="K50" s="20">
        <f>9/13</f>
        <v>0.6923076923076923</v>
      </c>
      <c r="L50" s="5">
        <v>0</v>
      </c>
      <c r="M50" s="5">
        <v>2</v>
      </c>
      <c r="N50" s="20">
        <f>2/13</f>
        <v>0.15384615384615385</v>
      </c>
    </row>
    <row r="51" spans="1:15" ht="12.75">
      <c r="A51" s="5">
        <v>9</v>
      </c>
      <c r="B51" s="5" t="s">
        <v>105</v>
      </c>
      <c r="C51" s="5">
        <v>21</v>
      </c>
      <c r="D51" s="5">
        <v>218</v>
      </c>
      <c r="E51" s="20">
        <f>218/21</f>
        <v>10.380952380952381</v>
      </c>
      <c r="F51" s="10">
        <v>71</v>
      </c>
      <c r="G51" s="20">
        <f>71/21</f>
        <v>3.380952380952381</v>
      </c>
      <c r="H51" s="45">
        <v>61</v>
      </c>
      <c r="I51" s="42">
        <f>61/19</f>
        <v>3.210526315789474</v>
      </c>
      <c r="J51" s="40">
        <v>29</v>
      </c>
      <c r="K51" s="42">
        <f>29/19</f>
        <v>1.5263157894736843</v>
      </c>
      <c r="L51" s="40">
        <v>3</v>
      </c>
      <c r="M51" s="40">
        <v>4</v>
      </c>
      <c r="N51" s="42">
        <f>4/19</f>
        <v>0.21052631578947367</v>
      </c>
      <c r="O51" s="10"/>
    </row>
    <row r="52" spans="1:15" ht="12.75">
      <c r="A52" s="5">
        <v>10</v>
      </c>
      <c r="B52" s="5" t="s">
        <v>106</v>
      </c>
      <c r="C52" s="5">
        <v>17</v>
      </c>
      <c r="D52" s="5">
        <v>108</v>
      </c>
      <c r="E52" s="20">
        <f>108/17</f>
        <v>6.352941176470588</v>
      </c>
      <c r="F52" s="10">
        <v>36</v>
      </c>
      <c r="G52" s="20">
        <f>36/17</f>
        <v>2.1176470588235294</v>
      </c>
      <c r="H52" s="45">
        <v>9</v>
      </c>
      <c r="I52" s="42">
        <f>9/15</f>
        <v>0.6</v>
      </c>
      <c r="J52" s="40">
        <v>5</v>
      </c>
      <c r="K52" s="42">
        <f>5/15</f>
        <v>0.3333333333333333</v>
      </c>
      <c r="L52" s="40">
        <v>1</v>
      </c>
      <c r="M52" s="40">
        <v>1</v>
      </c>
      <c r="N52" s="42">
        <f>1/15</f>
        <v>0.06666666666666667</v>
      </c>
      <c r="O52" s="10"/>
    </row>
    <row r="53" spans="1:14" ht="12.75">
      <c r="A53" s="5">
        <v>11</v>
      </c>
      <c r="B53" s="5" t="s">
        <v>161</v>
      </c>
      <c r="C53" s="5">
        <v>3</v>
      </c>
      <c r="D53" s="5">
        <v>9</v>
      </c>
      <c r="E53" s="20">
        <f>9/3</f>
        <v>3</v>
      </c>
      <c r="F53" s="10">
        <v>8</v>
      </c>
      <c r="G53" s="20">
        <f>8/3</f>
        <v>2.6666666666666665</v>
      </c>
      <c r="H53" s="10">
        <v>3</v>
      </c>
      <c r="I53" s="20">
        <f>3/3</f>
        <v>1</v>
      </c>
      <c r="J53" s="5">
        <v>0</v>
      </c>
      <c r="K53" s="20">
        <f>0/3</f>
        <v>0</v>
      </c>
      <c r="L53" s="5">
        <v>0</v>
      </c>
      <c r="M53" s="5">
        <v>0</v>
      </c>
      <c r="N53" s="20">
        <f>0/3</f>
        <v>0</v>
      </c>
    </row>
    <row r="54" spans="1:15" ht="12.75">
      <c r="A54" s="5">
        <v>12</v>
      </c>
      <c r="B54" s="5" t="s">
        <v>107</v>
      </c>
      <c r="C54" s="5">
        <v>19</v>
      </c>
      <c r="D54" s="5">
        <v>105</v>
      </c>
      <c r="E54" s="20">
        <f>105/19</f>
        <v>5.526315789473684</v>
      </c>
      <c r="F54" s="10">
        <v>49</v>
      </c>
      <c r="G54" s="20">
        <f>49/19</f>
        <v>2.5789473684210527</v>
      </c>
      <c r="H54" s="45">
        <v>33</v>
      </c>
      <c r="I54" s="42">
        <f>33/17</f>
        <v>1.9411764705882353</v>
      </c>
      <c r="J54" s="40">
        <v>3</v>
      </c>
      <c r="K54" s="42">
        <f>3/17</f>
        <v>0.17647058823529413</v>
      </c>
      <c r="L54" s="40">
        <v>6</v>
      </c>
      <c r="M54" s="40">
        <v>1</v>
      </c>
      <c r="N54" s="42">
        <f>1/17</f>
        <v>0.058823529411764705</v>
      </c>
      <c r="O54" s="10"/>
    </row>
    <row r="55" spans="1:14" ht="12.75">
      <c r="A55" s="5">
        <v>13</v>
      </c>
      <c r="B55" s="5" t="s">
        <v>139</v>
      </c>
      <c r="C55" s="5">
        <v>2</v>
      </c>
      <c r="D55" s="5">
        <v>6</v>
      </c>
      <c r="E55" s="20">
        <f>6/2</f>
        <v>3</v>
      </c>
      <c r="F55" s="10">
        <v>3</v>
      </c>
      <c r="G55" s="20">
        <f>3/2</f>
        <v>1.5</v>
      </c>
      <c r="H55" s="10">
        <v>1</v>
      </c>
      <c r="I55" s="38">
        <f>1/2</f>
        <v>0.5</v>
      </c>
      <c r="J55" s="35">
        <v>0</v>
      </c>
      <c r="K55" s="38">
        <f>0/2</f>
        <v>0</v>
      </c>
      <c r="L55" s="35">
        <v>0</v>
      </c>
      <c r="M55" s="35">
        <v>0</v>
      </c>
      <c r="N55" s="38">
        <f>0/2</f>
        <v>0</v>
      </c>
    </row>
    <row r="56" spans="1:15" ht="12.75">
      <c r="A56" s="5">
        <v>14</v>
      </c>
      <c r="B56" s="5" t="s">
        <v>100</v>
      </c>
      <c r="C56" s="5">
        <v>17</v>
      </c>
      <c r="D56" s="5">
        <v>64</v>
      </c>
      <c r="E56" s="20">
        <f>64/17</f>
        <v>3.764705882352941</v>
      </c>
      <c r="F56" s="10">
        <v>35</v>
      </c>
      <c r="G56" s="20">
        <f>35/17</f>
        <v>2.0588235294117645</v>
      </c>
      <c r="H56" s="45">
        <v>30</v>
      </c>
      <c r="I56" s="42">
        <f>30/15</f>
        <v>2</v>
      </c>
      <c r="J56" s="40">
        <v>9</v>
      </c>
      <c r="K56" s="42">
        <f>9/15</f>
        <v>0.6</v>
      </c>
      <c r="L56" s="40">
        <v>2</v>
      </c>
      <c r="M56" s="40">
        <v>7</v>
      </c>
      <c r="N56" s="42">
        <f>7/15</f>
        <v>0.4666666666666667</v>
      </c>
      <c r="O56" s="10"/>
    </row>
    <row r="57" spans="1:14" ht="12.75">
      <c r="A57" s="5">
        <v>15</v>
      </c>
      <c r="B57" s="5" t="s">
        <v>140</v>
      </c>
      <c r="C57" s="5">
        <v>4</v>
      </c>
      <c r="D57" s="5">
        <v>23</v>
      </c>
      <c r="E57" s="20">
        <f>23/4</f>
        <v>5.75</v>
      </c>
      <c r="F57" s="10">
        <v>8</v>
      </c>
      <c r="G57" s="20">
        <f>8/4</f>
        <v>2</v>
      </c>
      <c r="H57" s="10">
        <v>12</v>
      </c>
      <c r="I57" s="20">
        <f>12/4</f>
        <v>3</v>
      </c>
      <c r="J57" s="5">
        <v>4</v>
      </c>
      <c r="K57" s="20">
        <f>4/4</f>
        <v>1</v>
      </c>
      <c r="L57" s="5">
        <v>0</v>
      </c>
      <c r="M57" s="5">
        <v>0</v>
      </c>
      <c r="N57" s="20">
        <f>0/4</f>
        <v>0</v>
      </c>
    </row>
    <row r="58" spans="1:15" ht="12.75">
      <c r="A58" s="5">
        <v>16</v>
      </c>
      <c r="B58" s="5" t="s">
        <v>58</v>
      </c>
      <c r="C58" s="5">
        <v>21</v>
      </c>
      <c r="D58" s="5">
        <v>302</v>
      </c>
      <c r="E58" s="20">
        <f>302/21</f>
        <v>14.380952380952381</v>
      </c>
      <c r="F58" s="10">
        <v>55</v>
      </c>
      <c r="G58" s="20">
        <f>55/21</f>
        <v>2.619047619047619</v>
      </c>
      <c r="H58" s="45">
        <v>76</v>
      </c>
      <c r="I58" s="42">
        <f>76/19</f>
        <v>4</v>
      </c>
      <c r="J58" s="40">
        <v>33</v>
      </c>
      <c r="K58" s="42">
        <f>33/19</f>
        <v>1.736842105263158</v>
      </c>
      <c r="L58" s="40">
        <v>5</v>
      </c>
      <c r="M58" s="40">
        <v>13</v>
      </c>
      <c r="N58" s="42">
        <f>13/19</f>
        <v>0.6842105263157895</v>
      </c>
      <c r="O58" s="35"/>
    </row>
    <row r="59" spans="1:15" ht="12.75">
      <c r="A59" s="5">
        <v>18</v>
      </c>
      <c r="B59" s="5" t="s">
        <v>108</v>
      </c>
      <c r="C59" s="5">
        <v>15</v>
      </c>
      <c r="D59" s="5">
        <v>130</v>
      </c>
      <c r="E59" s="20">
        <f>130/15</f>
        <v>8.666666666666666</v>
      </c>
      <c r="F59" s="10">
        <v>44</v>
      </c>
      <c r="G59" s="20">
        <f>44/15</f>
        <v>2.933333333333333</v>
      </c>
      <c r="H59" s="45">
        <v>34</v>
      </c>
      <c r="I59" s="42">
        <f>34/13</f>
        <v>2.6153846153846154</v>
      </c>
      <c r="J59" s="40">
        <v>6</v>
      </c>
      <c r="K59" s="42">
        <f>6/13</f>
        <v>0.46153846153846156</v>
      </c>
      <c r="L59" s="40">
        <v>1</v>
      </c>
      <c r="M59" s="40">
        <v>5</v>
      </c>
      <c r="N59" s="42">
        <f>5/13</f>
        <v>0.38461538461538464</v>
      </c>
      <c r="O59" s="35"/>
    </row>
    <row r="60" spans="1:14" ht="12.75">
      <c r="A60" s="5">
        <v>19</v>
      </c>
      <c r="B60" s="5" t="s">
        <v>141</v>
      </c>
      <c r="C60" s="5">
        <v>8</v>
      </c>
      <c r="D60" s="5">
        <v>29</v>
      </c>
      <c r="E60" s="20">
        <f>29/8</f>
        <v>3.625</v>
      </c>
      <c r="F60" s="10">
        <v>20</v>
      </c>
      <c r="G60" s="20">
        <f>20/8</f>
        <v>2.5</v>
      </c>
      <c r="H60" s="10">
        <v>28</v>
      </c>
      <c r="I60" s="20">
        <f>28/8</f>
        <v>3.5</v>
      </c>
      <c r="J60" s="5">
        <v>6</v>
      </c>
      <c r="K60" s="20">
        <f>6/8</f>
        <v>0.75</v>
      </c>
      <c r="L60" s="5">
        <v>0</v>
      </c>
      <c r="M60" s="5">
        <v>2</v>
      </c>
      <c r="N60" s="20">
        <f>2/8</f>
        <v>0.25</v>
      </c>
    </row>
    <row r="61" spans="1:15" ht="12.75">
      <c r="A61" s="5">
        <v>20</v>
      </c>
      <c r="B61" s="5" t="s">
        <v>109</v>
      </c>
      <c r="C61" s="5">
        <v>19</v>
      </c>
      <c r="D61" s="5">
        <v>95</v>
      </c>
      <c r="E61" s="20">
        <f>95/19</f>
        <v>5</v>
      </c>
      <c r="F61" s="10">
        <v>66</v>
      </c>
      <c r="G61" s="20">
        <f>66/19</f>
        <v>3.473684210526316</v>
      </c>
      <c r="H61" s="45">
        <v>16</v>
      </c>
      <c r="I61" s="42">
        <f>16/17</f>
        <v>0.9411764705882353</v>
      </c>
      <c r="J61" s="40">
        <v>21</v>
      </c>
      <c r="K61" s="42">
        <f>21/17</f>
        <v>1.2352941176470589</v>
      </c>
      <c r="L61" s="40">
        <v>8</v>
      </c>
      <c r="M61" s="40">
        <v>0</v>
      </c>
      <c r="N61" s="42">
        <f>0/17</f>
        <v>0</v>
      </c>
      <c r="O61" s="35"/>
    </row>
    <row r="62" spans="1:14" ht="12.75">
      <c r="A62" s="5">
        <v>42</v>
      </c>
      <c r="B62" s="5" t="s">
        <v>101</v>
      </c>
      <c r="C62" s="5">
        <v>3</v>
      </c>
      <c r="D62" s="5">
        <v>18</v>
      </c>
      <c r="E62" s="20">
        <f>18/3</f>
        <v>6</v>
      </c>
      <c r="F62" s="10">
        <v>3</v>
      </c>
      <c r="G62" s="20">
        <f>3/3</f>
        <v>1</v>
      </c>
      <c r="H62" s="26">
        <v>15</v>
      </c>
      <c r="I62" s="24">
        <f>15/2</f>
        <v>7.5</v>
      </c>
      <c r="J62" s="23">
        <v>2</v>
      </c>
      <c r="K62" s="24">
        <f>2/2</f>
        <v>1</v>
      </c>
      <c r="L62" s="23">
        <v>1</v>
      </c>
      <c r="M62" s="23">
        <v>3</v>
      </c>
      <c r="N62" s="24">
        <f>3/2</f>
        <v>1.5</v>
      </c>
    </row>
    <row r="63" spans="1:15" ht="12.75">
      <c r="A63" s="5" t="s">
        <v>91</v>
      </c>
      <c r="B63" s="5" t="s">
        <v>92</v>
      </c>
      <c r="C63" s="5">
        <v>9</v>
      </c>
      <c r="D63" s="5">
        <v>68</v>
      </c>
      <c r="E63" s="20">
        <f>68/9</f>
        <v>7.555555555555555</v>
      </c>
      <c r="F63" s="10">
        <v>29</v>
      </c>
      <c r="G63" s="20">
        <f>29/9</f>
        <v>3.2222222222222223</v>
      </c>
      <c r="H63" s="26">
        <v>26</v>
      </c>
      <c r="I63" s="24">
        <f>26/8</f>
        <v>3.25</v>
      </c>
      <c r="J63" s="23">
        <v>8</v>
      </c>
      <c r="K63" s="24">
        <f>8/8</f>
        <v>1</v>
      </c>
      <c r="L63" s="23">
        <v>8</v>
      </c>
      <c r="M63" s="23">
        <v>0</v>
      </c>
      <c r="N63" s="24">
        <f>0/8</f>
        <v>0</v>
      </c>
      <c r="O63" s="10"/>
    </row>
    <row r="64" spans="1:14" ht="12.75">
      <c r="A64" s="5" t="s">
        <v>138</v>
      </c>
      <c r="B64" s="47" t="s">
        <v>160</v>
      </c>
      <c r="C64" s="5">
        <v>1</v>
      </c>
      <c r="D64" s="5">
        <v>1</v>
      </c>
      <c r="E64" s="5">
        <f>1/1</f>
        <v>1</v>
      </c>
      <c r="F64" s="10">
        <v>0</v>
      </c>
      <c r="G64" s="10">
        <f>0/1</f>
        <v>0</v>
      </c>
      <c r="H64" s="10">
        <v>0</v>
      </c>
      <c r="I64" s="10">
        <f>0/1</f>
        <v>0</v>
      </c>
      <c r="J64" s="10">
        <v>1</v>
      </c>
      <c r="K64" s="10">
        <f>1/1</f>
        <v>1</v>
      </c>
      <c r="L64" s="10">
        <v>1</v>
      </c>
      <c r="M64" s="10">
        <v>0</v>
      </c>
      <c r="N64" s="10">
        <f>0/1</f>
        <v>0</v>
      </c>
    </row>
    <row r="65" spans="1:14" ht="12.75">
      <c r="A65" s="5" t="s">
        <v>179</v>
      </c>
      <c r="B65" s="5" t="s">
        <v>180</v>
      </c>
      <c r="C65" s="5">
        <v>1</v>
      </c>
      <c r="D65" s="5">
        <v>3</v>
      </c>
      <c r="E65" s="5">
        <f>3/1</f>
        <v>3</v>
      </c>
      <c r="F65" s="10">
        <v>1</v>
      </c>
      <c r="G65" s="5">
        <f>1/1</f>
        <v>1</v>
      </c>
      <c r="H65" s="5">
        <v>1</v>
      </c>
      <c r="I65" s="5">
        <f>1/1</f>
        <v>1</v>
      </c>
      <c r="J65" s="5">
        <v>1</v>
      </c>
      <c r="K65" s="5">
        <f>1/1</f>
        <v>1</v>
      </c>
      <c r="L65" s="5">
        <v>0</v>
      </c>
      <c r="M65" s="5">
        <v>0</v>
      </c>
      <c r="N65" s="5">
        <f>0/1</f>
        <v>0</v>
      </c>
    </row>
    <row r="66" spans="1:14" ht="12.75">
      <c r="A66" s="5"/>
      <c r="B66" s="5"/>
      <c r="C66" s="5"/>
      <c r="D66" s="5"/>
      <c r="E66" s="5"/>
      <c r="F66" s="10"/>
      <c r="G66" s="5"/>
      <c r="H66" s="5"/>
      <c r="I66" s="5"/>
      <c r="J66" s="5"/>
      <c r="K66" s="5"/>
      <c r="L66" s="5"/>
      <c r="M66" s="5"/>
      <c r="N66" s="5"/>
    </row>
    <row r="67" spans="1:14" ht="12.75">
      <c r="A67" s="6" t="s">
        <v>45</v>
      </c>
      <c r="B67" s="6" t="s">
        <v>44</v>
      </c>
      <c r="C67" s="21" t="s">
        <v>60</v>
      </c>
      <c r="D67" s="21" t="s">
        <v>61</v>
      </c>
      <c r="E67" s="21" t="s">
        <v>62</v>
      </c>
      <c r="F67" s="21" t="s">
        <v>4</v>
      </c>
      <c r="G67" s="21" t="s">
        <v>5</v>
      </c>
      <c r="H67" s="21" t="s">
        <v>8</v>
      </c>
      <c r="I67" s="21" t="s">
        <v>11</v>
      </c>
      <c r="J67" s="21" t="s">
        <v>59</v>
      </c>
      <c r="K67" s="21" t="s">
        <v>63</v>
      </c>
      <c r="L67" s="21" t="s">
        <v>54</v>
      </c>
      <c r="M67" s="22" t="s">
        <v>64</v>
      </c>
      <c r="N67" s="1"/>
    </row>
    <row r="68" spans="1:14" ht="12.75">
      <c r="A68" s="5">
        <v>4</v>
      </c>
      <c r="B68" s="5" t="s">
        <v>102</v>
      </c>
      <c r="C68" s="27" t="s">
        <v>89</v>
      </c>
      <c r="D68" s="28">
        <f>5/8</f>
        <v>0.625</v>
      </c>
      <c r="E68" s="27" t="s">
        <v>156</v>
      </c>
      <c r="F68" s="28">
        <f>4/7</f>
        <v>0.5714285714285714</v>
      </c>
      <c r="G68" s="27" t="s">
        <v>181</v>
      </c>
      <c r="H68" s="28">
        <f>7/32</f>
        <v>0.21875</v>
      </c>
      <c r="I68" s="27">
        <v>11</v>
      </c>
      <c r="J68" s="30">
        <f>11/15</f>
        <v>0.7333333333333333</v>
      </c>
      <c r="K68" s="27">
        <v>15</v>
      </c>
      <c r="L68" s="30">
        <f>15/15</f>
        <v>1</v>
      </c>
      <c r="M68" s="29"/>
      <c r="N68" s="29">
        <v>4</v>
      </c>
    </row>
    <row r="69" spans="1:14" ht="12.75">
      <c r="A69" s="5">
        <v>5</v>
      </c>
      <c r="B69" s="5" t="s">
        <v>57</v>
      </c>
      <c r="C69" s="23" t="s">
        <v>89</v>
      </c>
      <c r="D69" s="31">
        <f>5/8</f>
        <v>0.625</v>
      </c>
      <c r="E69" s="23" t="s">
        <v>90</v>
      </c>
      <c r="F69" s="31">
        <v>0</v>
      </c>
      <c r="G69" s="23" t="s">
        <v>85</v>
      </c>
      <c r="H69" s="31">
        <f>2/11</f>
        <v>0.18181818181818182</v>
      </c>
      <c r="I69" s="23">
        <v>3</v>
      </c>
      <c r="J69" s="24">
        <f>3/5</f>
        <v>0.6</v>
      </c>
      <c r="K69" s="23">
        <v>7</v>
      </c>
      <c r="L69" s="24">
        <f>7/5</f>
        <v>1.4</v>
      </c>
      <c r="M69" s="25"/>
      <c r="N69" s="25">
        <v>4</v>
      </c>
    </row>
    <row r="70" spans="1:14" ht="12.75">
      <c r="A70" s="5">
        <v>6</v>
      </c>
      <c r="B70" s="5" t="s">
        <v>103</v>
      </c>
      <c r="C70" s="40" t="s">
        <v>166</v>
      </c>
      <c r="D70" s="44">
        <f>46/60</f>
        <v>0.7666666666666667</v>
      </c>
      <c r="E70" s="40" t="s">
        <v>167</v>
      </c>
      <c r="F70" s="44">
        <f>23/54</f>
        <v>0.42592592592592593</v>
      </c>
      <c r="G70" s="45" t="s">
        <v>168</v>
      </c>
      <c r="H70" s="44">
        <f>11/42</f>
        <v>0.2619047619047619</v>
      </c>
      <c r="I70" s="40">
        <v>45</v>
      </c>
      <c r="J70" s="42">
        <f>45/19</f>
        <v>2.3684210526315788</v>
      </c>
      <c r="K70" s="40">
        <v>36</v>
      </c>
      <c r="L70" s="42">
        <f>36/19</f>
        <v>1.894736842105263</v>
      </c>
      <c r="M70" s="43"/>
      <c r="N70" s="43">
        <v>-9</v>
      </c>
    </row>
    <row r="71" spans="1:14" ht="12.75">
      <c r="A71" s="5">
        <v>8</v>
      </c>
      <c r="B71" s="5" t="s">
        <v>104</v>
      </c>
      <c r="C71" s="5" t="s">
        <v>182</v>
      </c>
      <c r="D71" s="8">
        <f>13/21</f>
        <v>0.6190476190476191</v>
      </c>
      <c r="E71" s="5" t="s">
        <v>183</v>
      </c>
      <c r="F71" s="8">
        <f>15/38</f>
        <v>0.39473684210526316</v>
      </c>
      <c r="G71" s="10" t="s">
        <v>149</v>
      </c>
      <c r="H71" s="8">
        <f>2/16</f>
        <v>0.125</v>
      </c>
      <c r="I71" s="5">
        <v>8</v>
      </c>
      <c r="J71" s="20">
        <f>8/13</f>
        <v>0.6153846153846154</v>
      </c>
      <c r="K71" s="5">
        <v>9</v>
      </c>
      <c r="L71" s="20">
        <f>9/13</f>
        <v>0.6923076923076923</v>
      </c>
      <c r="N71">
        <v>1</v>
      </c>
    </row>
    <row r="72" spans="1:14" ht="12.75">
      <c r="A72" s="5">
        <v>9</v>
      </c>
      <c r="B72" s="5" t="s">
        <v>105</v>
      </c>
      <c r="C72" s="40" t="s">
        <v>169</v>
      </c>
      <c r="D72" s="44">
        <f>58/89</f>
        <v>0.651685393258427</v>
      </c>
      <c r="E72" s="40" t="s">
        <v>184</v>
      </c>
      <c r="F72" s="44">
        <f>52/143</f>
        <v>0.36363636363636365</v>
      </c>
      <c r="G72" s="45" t="s">
        <v>185</v>
      </c>
      <c r="H72" s="44">
        <f>16/63</f>
        <v>0.25396825396825395</v>
      </c>
      <c r="I72" s="40">
        <v>42</v>
      </c>
      <c r="J72" s="42">
        <f>42/19</f>
        <v>2.210526315789474</v>
      </c>
      <c r="K72" s="40">
        <v>32</v>
      </c>
      <c r="L72" s="42">
        <f>32/19</f>
        <v>1.6842105263157894</v>
      </c>
      <c r="M72" s="43"/>
      <c r="N72" s="43">
        <v>-10</v>
      </c>
    </row>
    <row r="73" spans="1:14" ht="12.75">
      <c r="A73" s="5">
        <v>10</v>
      </c>
      <c r="B73" s="5" t="s">
        <v>106</v>
      </c>
      <c r="C73" s="40" t="s">
        <v>82</v>
      </c>
      <c r="D73" s="44">
        <f>3/4</f>
        <v>0.75</v>
      </c>
      <c r="E73" s="40" t="s">
        <v>186</v>
      </c>
      <c r="F73" s="44">
        <f>12/19</f>
        <v>0.631578947368421</v>
      </c>
      <c r="G73" s="45" t="s">
        <v>187</v>
      </c>
      <c r="H73" s="44">
        <f>22/70</f>
        <v>0.3142857142857143</v>
      </c>
      <c r="I73" s="40">
        <v>14</v>
      </c>
      <c r="J73" s="42">
        <f>14/15</f>
        <v>0.9333333333333333</v>
      </c>
      <c r="K73" s="40">
        <v>7</v>
      </c>
      <c r="L73" s="42">
        <f>7/15</f>
        <v>0.4666666666666667</v>
      </c>
      <c r="M73" s="43"/>
      <c r="N73" s="43">
        <v>-7</v>
      </c>
    </row>
    <row r="74" spans="1:14" ht="12.75">
      <c r="A74" s="5">
        <v>11</v>
      </c>
      <c r="B74" s="5" t="s">
        <v>162</v>
      </c>
      <c r="C74" s="5" t="s">
        <v>157</v>
      </c>
      <c r="D74" s="8">
        <f>1/1</f>
        <v>1</v>
      </c>
      <c r="E74" s="5" t="s">
        <v>158</v>
      </c>
      <c r="F74" s="8">
        <f>4/6</f>
        <v>0.6666666666666666</v>
      </c>
      <c r="G74" s="10" t="s">
        <v>159</v>
      </c>
      <c r="H74" s="8">
        <f>0/2</f>
        <v>0</v>
      </c>
      <c r="I74" s="5">
        <v>3</v>
      </c>
      <c r="J74" s="20">
        <f>3/3</f>
        <v>1</v>
      </c>
      <c r="K74" s="5">
        <v>5</v>
      </c>
      <c r="L74" s="20">
        <f>5/3</f>
        <v>1.6666666666666667</v>
      </c>
      <c r="N74">
        <v>2</v>
      </c>
    </row>
    <row r="75" spans="1:14" ht="12.75">
      <c r="A75" s="5">
        <v>12</v>
      </c>
      <c r="B75" s="5" t="s">
        <v>107</v>
      </c>
      <c r="C75" s="40" t="s">
        <v>188</v>
      </c>
      <c r="D75" s="44">
        <f>29/41</f>
        <v>0.7073170731707317</v>
      </c>
      <c r="E75" s="40" t="s">
        <v>189</v>
      </c>
      <c r="F75" s="44">
        <f>17/33</f>
        <v>0.5151515151515151</v>
      </c>
      <c r="G75" s="45" t="s">
        <v>190</v>
      </c>
      <c r="H75" s="44">
        <f>11/39</f>
        <v>0.28205128205128205</v>
      </c>
      <c r="I75" s="40">
        <v>22</v>
      </c>
      <c r="J75" s="42">
        <f>22/17</f>
        <v>1.2941176470588236</v>
      </c>
      <c r="K75" s="40">
        <v>22</v>
      </c>
      <c r="L75" s="42">
        <f>22/17</f>
        <v>1.2941176470588236</v>
      </c>
      <c r="M75" s="43"/>
      <c r="N75" s="43">
        <v>0</v>
      </c>
    </row>
    <row r="76" spans="1:14" ht="12.75">
      <c r="A76" s="5">
        <v>13</v>
      </c>
      <c r="B76" s="5" t="s">
        <v>139</v>
      </c>
      <c r="C76" s="35" t="s">
        <v>65</v>
      </c>
      <c r="D76" s="34">
        <v>0</v>
      </c>
      <c r="E76" s="35" t="s">
        <v>159</v>
      </c>
      <c r="F76" s="34">
        <f>0/2</f>
        <v>0</v>
      </c>
      <c r="G76" s="10" t="s">
        <v>195</v>
      </c>
      <c r="H76" s="34">
        <f>2/5</f>
        <v>0.4</v>
      </c>
      <c r="I76" s="35">
        <v>0</v>
      </c>
      <c r="J76" s="38">
        <f>0/1</f>
        <v>0</v>
      </c>
      <c r="K76" s="35">
        <v>2</v>
      </c>
      <c r="L76" s="38">
        <f>2/2</f>
        <v>1</v>
      </c>
      <c r="M76" s="16"/>
      <c r="N76" s="16">
        <v>2</v>
      </c>
    </row>
    <row r="77" spans="1:14" ht="12.75">
      <c r="A77" s="5">
        <v>14</v>
      </c>
      <c r="B77" s="5" t="s">
        <v>100</v>
      </c>
      <c r="C77" s="40" t="s">
        <v>145</v>
      </c>
      <c r="D77" s="44">
        <f>22/35</f>
        <v>0.6285714285714286</v>
      </c>
      <c r="E77" s="40" t="s">
        <v>151</v>
      </c>
      <c r="F77" s="44">
        <f>17/59</f>
        <v>0.288135593220339</v>
      </c>
      <c r="G77" s="45" t="s">
        <v>146</v>
      </c>
      <c r="H77" s="44">
        <f>0/1</f>
        <v>0</v>
      </c>
      <c r="I77" s="40">
        <v>15</v>
      </c>
      <c r="J77" s="42">
        <f>15/15</f>
        <v>1</v>
      </c>
      <c r="K77" s="40">
        <v>9</v>
      </c>
      <c r="L77" s="42">
        <f>9/15</f>
        <v>0.6</v>
      </c>
      <c r="M77" s="43"/>
      <c r="N77" s="43">
        <v>-6</v>
      </c>
    </row>
    <row r="78" spans="1:14" ht="12.75">
      <c r="A78" s="5">
        <v>15</v>
      </c>
      <c r="B78" s="5" t="s">
        <v>140</v>
      </c>
      <c r="C78" s="5" t="s">
        <v>68</v>
      </c>
      <c r="D78" s="8">
        <f>6/10</f>
        <v>0.6</v>
      </c>
      <c r="E78" s="5" t="s">
        <v>78</v>
      </c>
      <c r="F78" s="8">
        <f>7/14</f>
        <v>0.5</v>
      </c>
      <c r="G78" s="10" t="s">
        <v>67</v>
      </c>
      <c r="H78" s="8">
        <f>1/2</f>
        <v>0.5</v>
      </c>
      <c r="I78" s="5">
        <v>7</v>
      </c>
      <c r="J78" s="20">
        <f>7/4</f>
        <v>1.75</v>
      </c>
      <c r="K78" s="5">
        <v>2</v>
      </c>
      <c r="L78" s="20">
        <f>2/4</f>
        <v>0.5</v>
      </c>
      <c r="N78">
        <v>-5</v>
      </c>
    </row>
    <row r="79" spans="1:14" ht="12.75">
      <c r="A79" s="5">
        <v>16</v>
      </c>
      <c r="B79" s="5" t="s">
        <v>58</v>
      </c>
      <c r="C79" s="40" t="s">
        <v>193</v>
      </c>
      <c r="D79" s="44">
        <f>88/103</f>
        <v>0.8543689320388349</v>
      </c>
      <c r="E79" s="40" t="s">
        <v>194</v>
      </c>
      <c r="F79" s="44">
        <f>84/175</f>
        <v>0.48</v>
      </c>
      <c r="G79" s="45" t="s">
        <v>171</v>
      </c>
      <c r="H79" s="44">
        <f>2/13</f>
        <v>0.15384615384615385</v>
      </c>
      <c r="I79" s="40">
        <v>36</v>
      </c>
      <c r="J79" s="42">
        <f>36/19</f>
        <v>1.894736842105263</v>
      </c>
      <c r="K79" s="40">
        <v>27</v>
      </c>
      <c r="L79" s="42">
        <f>27/19</f>
        <v>1.4210526315789473</v>
      </c>
      <c r="M79" s="43"/>
      <c r="N79" s="43">
        <v>-9</v>
      </c>
    </row>
    <row r="80" spans="1:14" ht="12.75">
      <c r="A80" s="5">
        <v>18</v>
      </c>
      <c r="B80" s="5" t="s">
        <v>108</v>
      </c>
      <c r="C80" s="40" t="s">
        <v>142</v>
      </c>
      <c r="D80" s="44">
        <f>37/59</f>
        <v>0.6271186440677966</v>
      </c>
      <c r="E80" s="40" t="s">
        <v>143</v>
      </c>
      <c r="F80" s="44">
        <f>20/49</f>
        <v>0.40816326530612246</v>
      </c>
      <c r="G80" s="45" t="s">
        <v>144</v>
      </c>
      <c r="H80" s="44">
        <f>10/29</f>
        <v>0.3448275862068966</v>
      </c>
      <c r="I80" s="40">
        <v>18</v>
      </c>
      <c r="J80" s="42">
        <f>18/13</f>
        <v>1.3846153846153846</v>
      </c>
      <c r="K80" s="40">
        <v>6</v>
      </c>
      <c r="L80" s="42">
        <f>6/13</f>
        <v>0.46153846153846156</v>
      </c>
      <c r="M80" s="43"/>
      <c r="N80" s="43">
        <v>-12</v>
      </c>
    </row>
    <row r="81" spans="1:14" ht="12.75">
      <c r="A81" s="5">
        <v>19</v>
      </c>
      <c r="B81" s="5" t="s">
        <v>141</v>
      </c>
      <c r="C81" s="5" t="s">
        <v>152</v>
      </c>
      <c r="D81" s="8">
        <f>9/13</f>
        <v>0.6923076923076923</v>
      </c>
      <c r="E81" s="5" t="s">
        <v>170</v>
      </c>
      <c r="F81" s="8">
        <f>10/32</f>
        <v>0.3125</v>
      </c>
      <c r="G81" s="10" t="s">
        <v>65</v>
      </c>
      <c r="H81" s="8">
        <v>0</v>
      </c>
      <c r="I81" s="5">
        <v>6</v>
      </c>
      <c r="J81" s="20">
        <f>6/8</f>
        <v>0.75</v>
      </c>
      <c r="K81" s="5">
        <v>8</v>
      </c>
      <c r="L81" s="20">
        <f>8/8</f>
        <v>1</v>
      </c>
      <c r="N81">
        <v>2</v>
      </c>
    </row>
    <row r="82" spans="1:14" ht="12.75">
      <c r="A82" s="5">
        <v>20</v>
      </c>
      <c r="B82" s="5" t="s">
        <v>109</v>
      </c>
      <c r="C82" s="40" t="s">
        <v>172</v>
      </c>
      <c r="D82" s="44">
        <f>24/43</f>
        <v>0.5581395348837209</v>
      </c>
      <c r="E82" s="40" t="s">
        <v>173</v>
      </c>
      <c r="F82" s="44">
        <f>20/58</f>
        <v>0.3448275862068966</v>
      </c>
      <c r="G82" s="45" t="s">
        <v>174</v>
      </c>
      <c r="H82" s="44">
        <f>5/35</f>
        <v>0.14285714285714285</v>
      </c>
      <c r="I82" s="40">
        <v>36</v>
      </c>
      <c r="J82" s="42">
        <f>36/17</f>
        <v>2.1176470588235294</v>
      </c>
      <c r="K82" s="40">
        <v>37</v>
      </c>
      <c r="L82" s="42">
        <f>37/17</f>
        <v>2.176470588235294</v>
      </c>
      <c r="M82" s="43"/>
      <c r="N82" s="43">
        <v>1</v>
      </c>
    </row>
    <row r="83" spans="1:14" ht="12.75">
      <c r="A83" s="5">
        <v>42</v>
      </c>
      <c r="B83" s="5" t="s">
        <v>101</v>
      </c>
      <c r="C83" s="23" t="s">
        <v>66</v>
      </c>
      <c r="D83" s="31">
        <f>2/2</f>
        <v>1</v>
      </c>
      <c r="E83" s="23" t="s">
        <v>69</v>
      </c>
      <c r="F83" s="31">
        <f>6/18</f>
        <v>0.3333333333333333</v>
      </c>
      <c r="G83" s="26" t="s">
        <v>65</v>
      </c>
      <c r="H83" s="31">
        <v>0</v>
      </c>
      <c r="I83" s="23">
        <v>1</v>
      </c>
      <c r="J83" s="24">
        <f>1/2</f>
        <v>0.5</v>
      </c>
      <c r="K83" s="23">
        <v>5</v>
      </c>
      <c r="L83" s="24">
        <f>5/2</f>
        <v>2.5</v>
      </c>
      <c r="M83" s="25"/>
      <c r="N83" s="25">
        <v>4</v>
      </c>
    </row>
    <row r="84" spans="1:14" ht="12.75">
      <c r="A84" s="5" t="s">
        <v>91</v>
      </c>
      <c r="B84" s="5" t="s">
        <v>92</v>
      </c>
      <c r="C84" s="23" t="s">
        <v>191</v>
      </c>
      <c r="D84" s="31">
        <f>17/26</f>
        <v>0.6538461538461539</v>
      </c>
      <c r="E84" s="23" t="s">
        <v>192</v>
      </c>
      <c r="F84" s="31">
        <f>20/36</f>
        <v>0.5555555555555556</v>
      </c>
      <c r="G84" s="26" t="s">
        <v>171</v>
      </c>
      <c r="H84" s="31">
        <f>2/13</f>
        <v>0.15384615384615385</v>
      </c>
      <c r="I84" s="23">
        <v>20</v>
      </c>
      <c r="J84" s="24">
        <f>20/8</f>
        <v>2.5</v>
      </c>
      <c r="K84" s="23">
        <v>18</v>
      </c>
      <c r="L84" s="24">
        <f>18/8</f>
        <v>2.25</v>
      </c>
      <c r="M84" s="23"/>
      <c r="N84" s="46">
        <v>-2</v>
      </c>
    </row>
    <row r="85" spans="1:15" ht="12.75">
      <c r="A85" s="5" t="s">
        <v>138</v>
      </c>
      <c r="B85" s="47" t="s">
        <v>160</v>
      </c>
      <c r="C85" s="35" t="s">
        <v>65</v>
      </c>
      <c r="D85" s="48">
        <v>0</v>
      </c>
      <c r="E85" s="35" t="s">
        <v>65</v>
      </c>
      <c r="F85" s="48">
        <v>0</v>
      </c>
      <c r="G85" s="10" t="s">
        <v>65</v>
      </c>
      <c r="H85" s="48">
        <v>0</v>
      </c>
      <c r="I85" s="10">
        <v>0</v>
      </c>
      <c r="J85" s="49">
        <f>0/1</f>
        <v>0</v>
      </c>
      <c r="K85" s="10">
        <v>1</v>
      </c>
      <c r="L85" s="49">
        <f>1/1</f>
        <v>1</v>
      </c>
      <c r="M85" s="35"/>
      <c r="N85" s="50">
        <v>1</v>
      </c>
      <c r="O85" s="16"/>
    </row>
    <row r="86" spans="1:14" ht="12.75">
      <c r="A86" s="5" t="s">
        <v>179</v>
      </c>
      <c r="B86" s="5" t="s">
        <v>180</v>
      </c>
      <c r="C86" s="5" t="s">
        <v>82</v>
      </c>
      <c r="D86" s="8">
        <f>3/4</f>
        <v>0.75</v>
      </c>
      <c r="E86" s="5" t="s">
        <v>65</v>
      </c>
      <c r="F86" s="51">
        <v>0</v>
      </c>
      <c r="G86" s="5" t="s">
        <v>65</v>
      </c>
      <c r="H86" s="51">
        <v>0</v>
      </c>
      <c r="I86" s="5">
        <v>0</v>
      </c>
      <c r="J86" s="5">
        <v>0</v>
      </c>
      <c r="K86" s="5">
        <v>0</v>
      </c>
      <c r="L86" s="5">
        <v>0</v>
      </c>
      <c r="M86" s="5"/>
      <c r="N86" s="33">
        <v>0</v>
      </c>
    </row>
    <row r="87" spans="1:3" ht="12.75">
      <c r="A87" s="32"/>
      <c r="B87" s="33" t="s">
        <v>70</v>
      </c>
      <c r="C87" t="s">
        <v>71</v>
      </c>
    </row>
    <row r="88" spans="1:3" ht="12.75">
      <c r="A88" s="41"/>
      <c r="B88" s="33" t="s">
        <v>93</v>
      </c>
      <c r="C88" t="s">
        <v>71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ignoredErrors>
    <ignoredError sqref="G57 K57 N57 H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2006-04-16T09:32:55Z</cp:lastPrinted>
  <dcterms:created xsi:type="dcterms:W3CDTF">2005-11-26T08:21:53Z</dcterms:created>
  <dcterms:modified xsi:type="dcterms:W3CDTF">2006-04-16T15:30:44Z</dcterms:modified>
  <cp:category/>
  <cp:version/>
  <cp:contentType/>
  <cp:contentStatus/>
</cp:coreProperties>
</file>