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quadra" sheetId="1" r:id="rId1"/>
    <sheet name="individuali" sheetId="2" r:id="rId2"/>
  </sheets>
  <definedNames/>
  <calcPr fullCalcOnLoad="1"/>
</workbook>
</file>

<file path=xl/sharedStrings.xml><?xml version="1.0" encoding="utf-8"?>
<sst xmlns="http://schemas.openxmlformats.org/spreadsheetml/2006/main" count="219" uniqueCount="174">
  <si>
    <t xml:space="preserve">GIORNATA </t>
  </si>
  <si>
    <t xml:space="preserve">PARTITA </t>
  </si>
  <si>
    <t>% T2</t>
  </si>
  <si>
    <t>T3</t>
  </si>
  <si>
    <t>% T3</t>
  </si>
  <si>
    <t>% TL</t>
  </si>
  <si>
    <t>RIM. D.</t>
  </si>
  <si>
    <t>RIM. O</t>
  </si>
  <si>
    <t>PP</t>
  </si>
  <si>
    <t>RE</t>
  </si>
  <si>
    <t>ASS</t>
  </si>
  <si>
    <t>VAL.</t>
  </si>
  <si>
    <t>miglior prestazione</t>
  </si>
  <si>
    <t>peggior prestazione</t>
  </si>
  <si>
    <t>maglia</t>
  </si>
  <si>
    <t>Giocatore</t>
  </si>
  <si>
    <t>Giocate</t>
  </si>
  <si>
    <t>Punti</t>
  </si>
  <si>
    <t>media p.</t>
  </si>
  <si>
    <t>Falli c</t>
  </si>
  <si>
    <t xml:space="preserve">media </t>
  </si>
  <si>
    <t>Falli s</t>
  </si>
  <si>
    <t>RD</t>
  </si>
  <si>
    <t>RO</t>
  </si>
  <si>
    <t>RT</t>
  </si>
  <si>
    <t>media</t>
  </si>
  <si>
    <t>Assist</t>
  </si>
  <si>
    <t>Benetti Fabrizio</t>
  </si>
  <si>
    <t>tiri liberi</t>
  </si>
  <si>
    <t>%TL</t>
  </si>
  <si>
    <t>T2</t>
  </si>
  <si>
    <t xml:space="preserve">RE </t>
  </si>
  <si>
    <t>saldo RE- PP</t>
  </si>
  <si>
    <t>Val</t>
  </si>
  <si>
    <t>Minuti</t>
  </si>
  <si>
    <t>St.d</t>
  </si>
  <si>
    <t>St.s</t>
  </si>
  <si>
    <t>TOTALE</t>
  </si>
  <si>
    <t>Francia Giacomo</t>
  </si>
  <si>
    <t>Vittuari Luca</t>
  </si>
  <si>
    <t>TT</t>
  </si>
  <si>
    <t>TR</t>
  </si>
  <si>
    <t xml:space="preserve"> TIRI DA 2</t>
  </si>
  <si>
    <t xml:space="preserve"> TIRI DA 3</t>
  </si>
  <si>
    <t xml:space="preserve"> TIRI LIBERI</t>
  </si>
  <si>
    <t>FC</t>
  </si>
  <si>
    <t>FS</t>
  </si>
  <si>
    <t>ST d</t>
  </si>
  <si>
    <t>espuls</t>
  </si>
  <si>
    <t>tecnici</t>
  </si>
  <si>
    <t>Mantovan Davide</t>
  </si>
  <si>
    <t>Tiozzo Luca</t>
  </si>
  <si>
    <t>ST s</t>
  </si>
  <si>
    <t>Gagliardi Gioele</t>
  </si>
  <si>
    <t>0su0</t>
  </si>
  <si>
    <t>Grassi Matteo</t>
  </si>
  <si>
    <t>Farne' Giacomo</t>
  </si>
  <si>
    <t>Bertacchi Paolo</t>
  </si>
  <si>
    <t>1su6</t>
  </si>
  <si>
    <t>2su2</t>
  </si>
  <si>
    <t>2su5</t>
  </si>
  <si>
    <t>2su3</t>
  </si>
  <si>
    <t>1su8</t>
  </si>
  <si>
    <t>1su5</t>
  </si>
  <si>
    <t>Bergami Matteo</t>
  </si>
  <si>
    <t>Poli Mattia</t>
  </si>
  <si>
    <t>Cabuli Davide</t>
  </si>
  <si>
    <t>Suero Mattia</t>
  </si>
  <si>
    <t>Bartolini Luca</t>
  </si>
  <si>
    <t>Tradii Gianluca</t>
  </si>
  <si>
    <t>0su2</t>
  </si>
  <si>
    <t>Berti Niccolo'</t>
  </si>
  <si>
    <t>Mannini Jacopo</t>
  </si>
  <si>
    <t>Brighetti Gabriele</t>
  </si>
  <si>
    <t>8su13</t>
  </si>
  <si>
    <t>28su49</t>
  </si>
  <si>
    <t>12C 65-44</t>
  </si>
  <si>
    <t>Stefy Bk -Argelato</t>
  </si>
  <si>
    <t>11T 70-54</t>
  </si>
  <si>
    <t>Audax Ferrara- Stefy Bk</t>
  </si>
  <si>
    <t>10C 106-51</t>
  </si>
  <si>
    <t>Stefy Bk -Finale Emilia</t>
  </si>
  <si>
    <t>9T 71-74ts</t>
  </si>
  <si>
    <t>Molinella -Stefy Bk</t>
  </si>
  <si>
    <t>8C 64-49</t>
  </si>
  <si>
    <t>Stefy Bk- Pgs Welcome</t>
  </si>
  <si>
    <t>7T 67-61</t>
  </si>
  <si>
    <t>Sport Insieme - Stefy Bk</t>
  </si>
  <si>
    <t>6C 79-67</t>
  </si>
  <si>
    <t>5T 61-54</t>
  </si>
  <si>
    <t>Vis Ferrara - Stefy Bk</t>
  </si>
  <si>
    <t>Stefy Bk-Bianconeriba</t>
  </si>
  <si>
    <t>4C 73-53</t>
  </si>
  <si>
    <t>Stefy Bk -Progresso
Happy Castelmaggiore</t>
  </si>
  <si>
    <t>Diablos S.Agata - Stefy</t>
  </si>
  <si>
    <t>3T 100-93ts</t>
  </si>
  <si>
    <t>Peperoncino C. Argile-Stefy</t>
  </si>
  <si>
    <t>2T 71-66</t>
  </si>
  <si>
    <t>1T 60-70</t>
  </si>
  <si>
    <t>Medolla- Stefy Bk</t>
  </si>
  <si>
    <t>3su6</t>
  </si>
  <si>
    <t>19su30</t>
  </si>
  <si>
    <t>5su26</t>
  </si>
  <si>
    <t>5su17</t>
  </si>
  <si>
    <t>15su20</t>
  </si>
  <si>
    <t>19su33</t>
  </si>
  <si>
    <t>0su10</t>
  </si>
  <si>
    <t>Pozzati Jacopo</t>
  </si>
  <si>
    <t>0su1</t>
  </si>
  <si>
    <t>1su1</t>
  </si>
  <si>
    <t>Fascetti Leon Lorenzo</t>
  </si>
  <si>
    <t>6su13</t>
  </si>
  <si>
    <t>5su12</t>
  </si>
  <si>
    <t>3su7</t>
  </si>
  <si>
    <t>2su7</t>
  </si>
  <si>
    <t>Stefy-Peperoncino C.Argile</t>
  </si>
  <si>
    <t>Stefy-Diablos S.Agata</t>
  </si>
  <si>
    <t>Happy C.Maggiore-Stefy</t>
  </si>
  <si>
    <t>Stefy-Vis Ferrara</t>
  </si>
  <si>
    <t>Bianconeriba-Stefy</t>
  </si>
  <si>
    <t>Stefy-Sport Insieme</t>
  </si>
  <si>
    <t>Pgs Welcome-Stefy</t>
  </si>
  <si>
    <t>Stefy-Molinella</t>
  </si>
  <si>
    <t xml:space="preserve">Finale Emilia-Stefy </t>
  </si>
  <si>
    <t>Stefy-Audax Ferrara</t>
  </si>
  <si>
    <t>Argelato-Stefy</t>
  </si>
  <si>
    <t>Stefy-Medolla</t>
  </si>
  <si>
    <t>15C 84-65</t>
  </si>
  <si>
    <t>16C 87-49</t>
  </si>
  <si>
    <t>17T 56-50</t>
  </si>
  <si>
    <t>18C 62-60</t>
  </si>
  <si>
    <t>19T 53-45</t>
  </si>
  <si>
    <t>20C 71-48</t>
  </si>
  <si>
    <t>21T 58-76</t>
  </si>
  <si>
    <t>22C 56-60</t>
  </si>
  <si>
    <t>23T 61-48</t>
  </si>
  <si>
    <t>24C 73-50</t>
  </si>
  <si>
    <t>25T 70-56</t>
  </si>
  <si>
    <t>14C 63-56</t>
  </si>
  <si>
    <t>T 70-77</t>
  </si>
  <si>
    <t>C 57-62</t>
  </si>
  <si>
    <t>C 86-63</t>
  </si>
  <si>
    <t>Stefy-Vignola</t>
  </si>
  <si>
    <t>Vignola - Stefy</t>
  </si>
  <si>
    <t>play off - ottavi di finale</t>
  </si>
  <si>
    <t>1894-1601</t>
  </si>
  <si>
    <t>media F: 70,1 S: 59,3</t>
  </si>
  <si>
    <t>19su26</t>
  </si>
  <si>
    <t>22su40</t>
  </si>
  <si>
    <t>9su35</t>
  </si>
  <si>
    <t>10su13</t>
  </si>
  <si>
    <t>9su24</t>
  </si>
  <si>
    <t>4su12</t>
  </si>
  <si>
    <t>56su84</t>
  </si>
  <si>
    <t>62su140</t>
  </si>
  <si>
    <t>40su54</t>
  </si>
  <si>
    <t>36su80</t>
  </si>
  <si>
    <t>61su143</t>
  </si>
  <si>
    <t>27su49</t>
  </si>
  <si>
    <t>31su68</t>
  </si>
  <si>
    <t>8su22</t>
  </si>
  <si>
    <t>16su24</t>
  </si>
  <si>
    <t>14su27</t>
  </si>
  <si>
    <t>1su7</t>
  </si>
  <si>
    <t>62su87</t>
  </si>
  <si>
    <t>60su142</t>
  </si>
  <si>
    <t>43su106</t>
  </si>
  <si>
    <t>41su63</t>
  </si>
  <si>
    <t>39su101</t>
  </si>
  <si>
    <t>47su79</t>
  </si>
  <si>
    <t>66su151</t>
  </si>
  <si>
    <t>34su93</t>
  </si>
  <si>
    <t>43su89</t>
  </si>
  <si>
    <t>9su12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</si>
</sst>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  <numFmt numFmtId="166" formatCode="[$-410]dddd\ d\ mmmm\ yyyy"/>
    <numFmt numFmtId="167" formatCode="h\.mm\.ss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0" fontId="0" fillId="0" borderId="0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" fontId="2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4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ill="1" applyBorder="1" applyAlignment="1">
      <alignment/>
    </xf>
    <xf numFmtId="164" fontId="0" fillId="4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0" fontId="0" fillId="4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right"/>
    </xf>
    <xf numFmtId="0" fontId="0" fillId="4" borderId="0" xfId="0" applyNumberFormat="1" applyFill="1" applyAlignment="1">
      <alignment horizontal="right"/>
    </xf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5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57150</xdr:rowOff>
    </xdr:from>
    <xdr:to>
      <xdr:col>14</xdr:col>
      <xdr:colOff>400050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7010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5"/>
  <sheetViews>
    <sheetView tabSelected="1" workbookViewId="0" topLeftCell="B1">
      <selection activeCell="Q36" sqref="Q36"/>
    </sheetView>
  </sheetViews>
  <sheetFormatPr defaultColWidth="9.140625" defaultRowHeight="12.75"/>
  <cols>
    <col min="1" max="1" width="9.8515625" style="0" customWidth="1"/>
    <col min="2" max="2" width="22.8515625" style="0" customWidth="1"/>
    <col min="3" max="3" width="4.7109375" style="0" customWidth="1"/>
    <col min="4" max="4" width="4.8515625" style="0" customWidth="1"/>
    <col min="5" max="5" width="6.8515625" style="0" customWidth="1"/>
    <col min="6" max="7" width="4.8515625" style="0" customWidth="1"/>
    <col min="8" max="8" width="7.00390625" style="0" customWidth="1"/>
    <col min="9" max="10" width="4.8515625" style="0" customWidth="1"/>
    <col min="11" max="11" width="7.7109375" style="0" customWidth="1"/>
    <col min="12" max="12" width="6.8515625" style="0" customWidth="1"/>
    <col min="13" max="13" width="6.140625" style="0" customWidth="1"/>
    <col min="14" max="14" width="5.8515625" style="0" customWidth="1"/>
    <col min="15" max="15" width="6.421875" style="0" customWidth="1"/>
    <col min="16" max="16" width="5.7109375" style="0" customWidth="1"/>
    <col min="17" max="17" width="5.421875" style="0" customWidth="1"/>
    <col min="18" max="18" width="5.8515625" style="0" customWidth="1"/>
    <col min="19" max="19" width="5.140625" style="0" customWidth="1"/>
    <col min="20" max="20" width="5.57421875" style="0" customWidth="1"/>
    <col min="21" max="21" width="6.8515625" style="0" customWidth="1"/>
    <col min="22" max="22" width="4.8515625" style="0" customWidth="1"/>
    <col min="23" max="23" width="5.57421875" style="0" customWidth="1"/>
  </cols>
  <sheetData>
    <row r="1" spans="2:20" ht="12.75">
      <c r="B1" s="1"/>
      <c r="C1" s="1"/>
      <c r="D1" s="1"/>
      <c r="N1" s="2"/>
      <c r="R1" s="2"/>
      <c r="S1" s="2"/>
      <c r="T1" s="2"/>
    </row>
    <row r="2" spans="14:20" ht="12.75">
      <c r="N2" s="2"/>
      <c r="R2" s="2"/>
      <c r="S2" s="2"/>
      <c r="T2" s="2"/>
    </row>
    <row r="3" spans="14:20" ht="12.75">
      <c r="N3" s="2"/>
      <c r="R3" s="2"/>
      <c r="S3" s="2"/>
      <c r="T3" s="2"/>
    </row>
    <row r="4" spans="14:20" ht="12.75">
      <c r="N4" s="2"/>
      <c r="R4" s="2"/>
      <c r="S4" s="2"/>
      <c r="T4" s="2"/>
    </row>
    <row r="5" spans="14:20" ht="12.75">
      <c r="N5" s="2"/>
      <c r="R5" s="2"/>
      <c r="S5" s="2"/>
      <c r="T5" s="2"/>
    </row>
    <row r="6" spans="14:20" ht="12.75">
      <c r="N6" s="2"/>
      <c r="R6" s="2"/>
      <c r="S6" s="2"/>
      <c r="T6" s="2"/>
    </row>
    <row r="7" spans="14:20" ht="12.75">
      <c r="N7" s="2"/>
      <c r="R7" s="2"/>
      <c r="S7" s="2"/>
      <c r="T7" s="2"/>
    </row>
    <row r="8" spans="3:20" ht="12.75">
      <c r="C8" s="51" t="s">
        <v>42</v>
      </c>
      <c r="D8" s="52"/>
      <c r="F8" s="51" t="s">
        <v>43</v>
      </c>
      <c r="G8" s="52"/>
      <c r="I8" s="53" t="s">
        <v>44</v>
      </c>
      <c r="J8" s="54"/>
      <c r="N8" s="2"/>
      <c r="R8" s="2"/>
      <c r="S8" s="2"/>
      <c r="T8" s="2"/>
    </row>
    <row r="9" spans="1:21" ht="12.75">
      <c r="A9" s="34" t="s">
        <v>0</v>
      </c>
      <c r="B9" s="4" t="s">
        <v>1</v>
      </c>
      <c r="C9" s="4" t="s">
        <v>41</v>
      </c>
      <c r="D9" s="4" t="s">
        <v>40</v>
      </c>
      <c r="E9" s="4" t="s">
        <v>2</v>
      </c>
      <c r="F9" s="4" t="s">
        <v>41</v>
      </c>
      <c r="G9" s="4" t="s">
        <v>40</v>
      </c>
      <c r="H9" s="4" t="s">
        <v>4</v>
      </c>
      <c r="I9" s="4" t="s">
        <v>41</v>
      </c>
      <c r="J9" s="4" t="s">
        <v>40</v>
      </c>
      <c r="K9" s="4" t="s">
        <v>5</v>
      </c>
      <c r="L9" s="34" t="s">
        <v>6</v>
      </c>
      <c r="M9" s="34" t="s">
        <v>7</v>
      </c>
      <c r="N9" s="5" t="s">
        <v>8</v>
      </c>
      <c r="O9" s="4" t="s">
        <v>9</v>
      </c>
      <c r="P9" s="4" t="s">
        <v>45</v>
      </c>
      <c r="Q9" s="4" t="s">
        <v>46</v>
      </c>
      <c r="R9" s="5" t="s">
        <v>10</v>
      </c>
      <c r="S9" s="5" t="s">
        <v>47</v>
      </c>
      <c r="T9" s="5" t="s">
        <v>52</v>
      </c>
      <c r="U9" s="7" t="s">
        <v>11</v>
      </c>
    </row>
    <row r="10" spans="1:29" ht="12.75">
      <c r="A10" s="17" t="s">
        <v>98</v>
      </c>
      <c r="B10" s="13" t="s">
        <v>99</v>
      </c>
      <c r="C10" s="13">
        <v>15</v>
      </c>
      <c r="D10" s="13">
        <v>40</v>
      </c>
      <c r="E10" s="18">
        <f>15/40</f>
        <v>0.375</v>
      </c>
      <c r="F10" s="14">
        <v>5</v>
      </c>
      <c r="G10" s="14">
        <v>17</v>
      </c>
      <c r="H10" s="18">
        <f>5/17</f>
        <v>0.29411764705882354</v>
      </c>
      <c r="I10" s="14">
        <v>15</v>
      </c>
      <c r="J10" s="14">
        <v>26</v>
      </c>
      <c r="K10" s="18">
        <f>15/26</f>
        <v>0.5769230769230769</v>
      </c>
      <c r="L10" s="87">
        <v>12</v>
      </c>
      <c r="M10" s="13">
        <v>11</v>
      </c>
      <c r="N10" s="14">
        <v>19</v>
      </c>
      <c r="O10" s="13">
        <v>22</v>
      </c>
      <c r="P10" s="13">
        <v>25</v>
      </c>
      <c r="Q10" s="13">
        <v>21</v>
      </c>
      <c r="R10" s="14">
        <v>4</v>
      </c>
      <c r="S10" s="89">
        <v>0</v>
      </c>
      <c r="T10" s="14">
        <v>2</v>
      </c>
      <c r="U10" s="87">
        <v>36</v>
      </c>
      <c r="V10" s="1"/>
      <c r="W10" s="1"/>
      <c r="X10" s="1"/>
      <c r="Y10" s="1"/>
      <c r="Z10" s="1"/>
      <c r="AA10" s="1"/>
      <c r="AB10" s="1"/>
      <c r="AC10" s="1"/>
    </row>
    <row r="11" spans="1:29" ht="12.75">
      <c r="A11" s="17" t="s">
        <v>97</v>
      </c>
      <c r="B11" s="57" t="s">
        <v>96</v>
      </c>
      <c r="C11" s="13">
        <v>17</v>
      </c>
      <c r="D11" s="13">
        <v>43</v>
      </c>
      <c r="E11" s="18">
        <f>17/43</f>
        <v>0.3953488372093023</v>
      </c>
      <c r="F11" s="14">
        <v>7</v>
      </c>
      <c r="G11" s="14">
        <v>17</v>
      </c>
      <c r="H11" s="18">
        <f>7/17</f>
        <v>0.4117647058823529</v>
      </c>
      <c r="I11" s="14">
        <v>16</v>
      </c>
      <c r="J11" s="14">
        <v>21</v>
      </c>
      <c r="K11" s="18">
        <f>16/21</f>
        <v>0.7619047619047619</v>
      </c>
      <c r="L11" s="13">
        <v>30</v>
      </c>
      <c r="M11" s="13">
        <v>10</v>
      </c>
      <c r="N11" s="14">
        <v>12</v>
      </c>
      <c r="O11" s="13">
        <v>13</v>
      </c>
      <c r="P11" s="13">
        <v>24</v>
      </c>
      <c r="Q11" s="13">
        <v>18</v>
      </c>
      <c r="R11" s="14">
        <v>9</v>
      </c>
      <c r="S11" s="14">
        <v>2</v>
      </c>
      <c r="T11" s="86">
        <v>0</v>
      </c>
      <c r="U11" s="13">
        <v>76</v>
      </c>
      <c r="V11" s="1"/>
      <c r="W11" s="1"/>
      <c r="X11" s="1"/>
      <c r="Y11" s="1"/>
      <c r="Z11" s="1"/>
      <c r="AA11" s="1"/>
      <c r="AB11" s="1"/>
      <c r="AC11" s="1"/>
    </row>
    <row r="12" spans="1:29" ht="12.75">
      <c r="A12" s="68" t="s">
        <v>95</v>
      </c>
      <c r="B12" s="13" t="s">
        <v>94</v>
      </c>
      <c r="C12" s="13">
        <v>22</v>
      </c>
      <c r="D12" s="13">
        <v>46</v>
      </c>
      <c r="E12" s="18">
        <f>22/46</f>
        <v>0.4782608695652174</v>
      </c>
      <c r="F12" s="14">
        <v>10</v>
      </c>
      <c r="G12" s="14">
        <v>23</v>
      </c>
      <c r="H12" s="18">
        <f>10/23</f>
        <v>0.43478260869565216</v>
      </c>
      <c r="I12" s="14">
        <v>26</v>
      </c>
      <c r="J12" s="86">
        <v>38</v>
      </c>
      <c r="K12" s="18">
        <f>26/38</f>
        <v>0.6842105263157895</v>
      </c>
      <c r="L12" s="13">
        <v>24</v>
      </c>
      <c r="M12" s="84">
        <v>14</v>
      </c>
      <c r="N12" s="89">
        <v>22</v>
      </c>
      <c r="O12" s="13">
        <v>20</v>
      </c>
      <c r="P12" s="13">
        <v>26</v>
      </c>
      <c r="Q12" s="13">
        <v>27</v>
      </c>
      <c r="R12" s="14">
        <v>4</v>
      </c>
      <c r="S12" s="14">
        <v>3</v>
      </c>
      <c r="T12" s="14">
        <v>1</v>
      </c>
      <c r="U12" s="16">
        <v>94</v>
      </c>
      <c r="V12" s="1"/>
      <c r="W12" s="1"/>
      <c r="X12" s="1"/>
      <c r="Y12" s="1"/>
      <c r="Z12" s="1"/>
      <c r="AA12" s="1"/>
      <c r="AB12" s="1"/>
      <c r="AC12" s="1"/>
    </row>
    <row r="13" spans="1:29" ht="25.5">
      <c r="A13" s="17" t="s">
        <v>92</v>
      </c>
      <c r="B13" s="79" t="s">
        <v>93</v>
      </c>
      <c r="C13" s="13">
        <v>22</v>
      </c>
      <c r="D13" s="13">
        <v>49</v>
      </c>
      <c r="E13" s="18">
        <f>22/49</f>
        <v>0.4489795918367347</v>
      </c>
      <c r="F13" s="14">
        <v>6</v>
      </c>
      <c r="G13" s="14">
        <v>16</v>
      </c>
      <c r="H13" s="18">
        <f>6/16</f>
        <v>0.375</v>
      </c>
      <c r="I13" s="14">
        <v>11</v>
      </c>
      <c r="J13" s="14">
        <v>16</v>
      </c>
      <c r="K13" s="18">
        <f>11/16</f>
        <v>0.6875</v>
      </c>
      <c r="L13" s="13">
        <v>30</v>
      </c>
      <c r="M13" s="13">
        <v>11</v>
      </c>
      <c r="N13" s="14">
        <v>15</v>
      </c>
      <c r="O13" s="13">
        <v>18</v>
      </c>
      <c r="P13" s="13">
        <v>21</v>
      </c>
      <c r="Q13" s="87">
        <v>13</v>
      </c>
      <c r="R13" s="14">
        <v>8</v>
      </c>
      <c r="S13" s="14">
        <v>1</v>
      </c>
      <c r="T13" s="14">
        <v>2</v>
      </c>
      <c r="U13" s="13">
        <v>74</v>
      </c>
      <c r="V13" s="1"/>
      <c r="W13" s="1"/>
      <c r="X13" s="1"/>
      <c r="Y13" s="1"/>
      <c r="Z13" s="1"/>
      <c r="AA13" s="1"/>
      <c r="AB13" s="1"/>
      <c r="AC13" s="1"/>
    </row>
    <row r="14" spans="1:29" ht="12.75">
      <c r="A14" s="17" t="s">
        <v>89</v>
      </c>
      <c r="B14" s="13" t="s">
        <v>90</v>
      </c>
      <c r="C14" s="13">
        <v>20</v>
      </c>
      <c r="D14" s="13">
        <v>42</v>
      </c>
      <c r="E14" s="18">
        <f>20/42</f>
        <v>0.47619047619047616</v>
      </c>
      <c r="F14" s="14">
        <v>5</v>
      </c>
      <c r="G14" s="14">
        <v>14</v>
      </c>
      <c r="H14" s="18">
        <f>5/14</f>
        <v>0.35714285714285715</v>
      </c>
      <c r="I14" s="89">
        <v>6</v>
      </c>
      <c r="J14" s="89">
        <v>11</v>
      </c>
      <c r="K14" s="18">
        <f>6/11</f>
        <v>0.5454545454545454</v>
      </c>
      <c r="L14" s="13">
        <v>27</v>
      </c>
      <c r="M14" s="13">
        <v>8</v>
      </c>
      <c r="N14" s="14">
        <v>18</v>
      </c>
      <c r="O14" s="13">
        <v>17</v>
      </c>
      <c r="P14" s="13">
        <v>18</v>
      </c>
      <c r="Q14" s="13">
        <v>18</v>
      </c>
      <c r="R14" s="14">
        <v>8</v>
      </c>
      <c r="S14" s="14">
        <v>1</v>
      </c>
      <c r="T14" s="89">
        <v>3</v>
      </c>
      <c r="U14" s="13">
        <v>65</v>
      </c>
      <c r="V14" s="1"/>
      <c r="W14" s="1"/>
      <c r="X14" s="1"/>
      <c r="Y14" s="1"/>
      <c r="Z14" s="1"/>
      <c r="AA14" s="1"/>
      <c r="AB14" s="1"/>
      <c r="AC14" s="1"/>
    </row>
    <row r="15" spans="1:29" ht="12.75">
      <c r="A15" s="17" t="s">
        <v>88</v>
      </c>
      <c r="B15" s="13" t="s">
        <v>91</v>
      </c>
      <c r="C15" s="13">
        <v>19</v>
      </c>
      <c r="D15" s="13">
        <v>35</v>
      </c>
      <c r="E15" s="18">
        <f>19/35</f>
        <v>0.5428571428571428</v>
      </c>
      <c r="F15" s="14">
        <v>10</v>
      </c>
      <c r="G15" s="14">
        <v>24</v>
      </c>
      <c r="H15" s="18">
        <f>10/24</f>
        <v>0.4166666666666667</v>
      </c>
      <c r="I15" s="14">
        <v>11</v>
      </c>
      <c r="J15" s="14">
        <v>12</v>
      </c>
      <c r="K15" s="85">
        <f>11/12</f>
        <v>0.9166666666666666</v>
      </c>
      <c r="L15" s="13">
        <v>25</v>
      </c>
      <c r="M15" s="13">
        <v>6</v>
      </c>
      <c r="N15" s="14">
        <v>16</v>
      </c>
      <c r="O15" s="13">
        <v>14</v>
      </c>
      <c r="P15" s="13">
        <v>26</v>
      </c>
      <c r="Q15" s="13">
        <v>17</v>
      </c>
      <c r="R15" s="14">
        <v>6</v>
      </c>
      <c r="S15" s="14">
        <v>1</v>
      </c>
      <c r="T15" s="14">
        <v>2</v>
      </c>
      <c r="U15" s="13">
        <v>73</v>
      </c>
      <c r="V15" s="1"/>
      <c r="W15" s="1"/>
      <c r="X15" s="1"/>
      <c r="Y15" s="1"/>
      <c r="Z15" s="1"/>
      <c r="AA15" s="1"/>
      <c r="AB15" s="1"/>
      <c r="AC15" s="1"/>
    </row>
    <row r="16" spans="1:29" ht="12.75">
      <c r="A16" s="17" t="s">
        <v>86</v>
      </c>
      <c r="B16" s="13" t="s">
        <v>87</v>
      </c>
      <c r="C16" s="13">
        <v>18</v>
      </c>
      <c r="D16" s="13">
        <v>32</v>
      </c>
      <c r="E16" s="18">
        <f>18/32</f>
        <v>0.5625</v>
      </c>
      <c r="F16" s="14">
        <v>5</v>
      </c>
      <c r="G16" s="14">
        <v>19</v>
      </c>
      <c r="H16" s="18">
        <f>5/19</f>
        <v>0.2631578947368421</v>
      </c>
      <c r="I16" s="14">
        <v>16</v>
      </c>
      <c r="J16" s="38">
        <v>28</v>
      </c>
      <c r="K16" s="18">
        <f>16/28</f>
        <v>0.5714285714285714</v>
      </c>
      <c r="L16" s="16">
        <v>21</v>
      </c>
      <c r="M16" s="87">
        <v>4</v>
      </c>
      <c r="N16" s="14">
        <v>19</v>
      </c>
      <c r="O16" s="13">
        <v>22</v>
      </c>
      <c r="P16" s="13">
        <v>17</v>
      </c>
      <c r="Q16" s="13">
        <v>23</v>
      </c>
      <c r="R16" s="38">
        <v>5</v>
      </c>
      <c r="S16" s="38">
        <v>2</v>
      </c>
      <c r="T16" s="38">
        <v>2</v>
      </c>
      <c r="U16" s="13">
        <v>66</v>
      </c>
      <c r="V16" s="1"/>
      <c r="W16" s="1"/>
      <c r="X16" s="1"/>
      <c r="Y16" s="1"/>
      <c r="Z16" s="1"/>
      <c r="AA16" s="1"/>
      <c r="AB16" s="1"/>
      <c r="AC16" s="1"/>
    </row>
    <row r="17" spans="1:29" ht="12.75">
      <c r="A17" s="17" t="s">
        <v>84</v>
      </c>
      <c r="B17" s="13" t="s">
        <v>85</v>
      </c>
      <c r="C17" s="13">
        <v>20</v>
      </c>
      <c r="D17" s="13">
        <v>44</v>
      </c>
      <c r="E17" s="18">
        <f>20/44</f>
        <v>0.45454545454545453</v>
      </c>
      <c r="F17" s="14">
        <v>5</v>
      </c>
      <c r="G17" s="14">
        <v>14</v>
      </c>
      <c r="H17" s="18">
        <f>5/14</f>
        <v>0.35714285714285715</v>
      </c>
      <c r="I17" s="14">
        <v>9</v>
      </c>
      <c r="J17" s="14">
        <v>15</v>
      </c>
      <c r="K17" s="18">
        <f>9/15</f>
        <v>0.6</v>
      </c>
      <c r="L17" s="13">
        <v>24</v>
      </c>
      <c r="M17" s="13">
        <v>10</v>
      </c>
      <c r="N17" s="89">
        <v>22</v>
      </c>
      <c r="O17" s="13">
        <v>22</v>
      </c>
      <c r="P17" s="13">
        <v>17</v>
      </c>
      <c r="Q17" s="13">
        <v>13</v>
      </c>
      <c r="R17" s="14">
        <v>8</v>
      </c>
      <c r="S17" s="14">
        <v>2</v>
      </c>
      <c r="T17" s="14">
        <v>2</v>
      </c>
      <c r="U17" s="13">
        <v>63</v>
      </c>
      <c r="V17" s="1"/>
      <c r="W17" s="1"/>
      <c r="X17" s="1"/>
      <c r="Y17" s="1"/>
      <c r="Z17" s="1"/>
      <c r="AA17" s="1"/>
      <c r="AB17" s="1"/>
      <c r="AC17" s="1"/>
    </row>
    <row r="18" spans="1:29" ht="12.75">
      <c r="A18" s="17" t="s">
        <v>82</v>
      </c>
      <c r="B18" s="13" t="s">
        <v>83</v>
      </c>
      <c r="C18" s="13">
        <v>11</v>
      </c>
      <c r="D18" s="13">
        <v>36</v>
      </c>
      <c r="E18" s="88">
        <f>11/36</f>
        <v>0.3055555555555556</v>
      </c>
      <c r="F18" s="14">
        <v>7</v>
      </c>
      <c r="G18" s="14">
        <v>18</v>
      </c>
      <c r="H18" s="18">
        <f>7/18</f>
        <v>0.3888888888888889</v>
      </c>
      <c r="I18" s="86">
        <v>28</v>
      </c>
      <c r="J18" s="86">
        <v>38</v>
      </c>
      <c r="K18" s="18">
        <f>28/38</f>
        <v>0.7368421052631579</v>
      </c>
      <c r="L18" s="13">
        <v>27</v>
      </c>
      <c r="M18" s="13">
        <v>7</v>
      </c>
      <c r="N18" s="14">
        <v>18</v>
      </c>
      <c r="O18" s="13">
        <v>12</v>
      </c>
      <c r="P18" s="87">
        <v>28</v>
      </c>
      <c r="Q18" s="84">
        <v>28</v>
      </c>
      <c r="R18" s="14">
        <v>5</v>
      </c>
      <c r="S18" s="89">
        <v>0</v>
      </c>
      <c r="T18" s="89">
        <v>3</v>
      </c>
      <c r="U18" s="13">
        <v>55</v>
      </c>
      <c r="V18" s="1"/>
      <c r="W18" s="1"/>
      <c r="X18" s="1"/>
      <c r="Y18" s="1"/>
      <c r="Z18" s="1"/>
      <c r="AA18" s="1"/>
      <c r="AB18" s="1"/>
      <c r="AC18" s="1"/>
    </row>
    <row r="19" spans="1:29" ht="12.75">
      <c r="A19" s="17" t="s">
        <v>80</v>
      </c>
      <c r="B19" s="13" t="s">
        <v>81</v>
      </c>
      <c r="C19" s="84">
        <v>29</v>
      </c>
      <c r="D19" s="13">
        <v>45</v>
      </c>
      <c r="E19" s="85">
        <f>29/45</f>
        <v>0.6444444444444445</v>
      </c>
      <c r="F19" s="14">
        <v>10</v>
      </c>
      <c r="G19" s="14">
        <v>20</v>
      </c>
      <c r="H19" s="18">
        <f>10/20</f>
        <v>0.5</v>
      </c>
      <c r="I19" s="14">
        <v>18</v>
      </c>
      <c r="J19" s="14">
        <v>33</v>
      </c>
      <c r="K19" s="18">
        <f>18/33</f>
        <v>0.5454545454545454</v>
      </c>
      <c r="L19" s="13">
        <v>22</v>
      </c>
      <c r="M19" s="13">
        <v>8</v>
      </c>
      <c r="N19" s="38">
        <v>12</v>
      </c>
      <c r="O19" s="13">
        <v>24</v>
      </c>
      <c r="P19" s="84">
        <v>9</v>
      </c>
      <c r="Q19" s="13">
        <v>25</v>
      </c>
      <c r="R19" s="86">
        <v>22</v>
      </c>
      <c r="S19" s="14">
        <v>2</v>
      </c>
      <c r="T19" s="86">
        <v>0</v>
      </c>
      <c r="U19" s="84">
        <v>147</v>
      </c>
      <c r="V19" s="1"/>
      <c r="W19" s="1"/>
      <c r="X19" s="1"/>
      <c r="Y19" s="1"/>
      <c r="Z19" s="1"/>
      <c r="AA19" s="1"/>
      <c r="AB19" s="1"/>
      <c r="AC19" s="1"/>
    </row>
    <row r="20" spans="1:29" ht="12.75">
      <c r="A20" s="17" t="s">
        <v>78</v>
      </c>
      <c r="B20" s="13" t="s">
        <v>79</v>
      </c>
      <c r="C20" s="13">
        <v>22</v>
      </c>
      <c r="D20" s="84">
        <v>50</v>
      </c>
      <c r="E20" s="18">
        <f>22/50</f>
        <v>0.44</v>
      </c>
      <c r="F20" s="14">
        <v>4</v>
      </c>
      <c r="G20" s="89">
        <v>12</v>
      </c>
      <c r="H20" s="18">
        <f>4/12</f>
        <v>0.3333333333333333</v>
      </c>
      <c r="I20" s="14">
        <v>14</v>
      </c>
      <c r="J20" s="14">
        <v>19</v>
      </c>
      <c r="K20" s="18">
        <f>14/19</f>
        <v>0.7368421052631579</v>
      </c>
      <c r="L20" s="13">
        <v>25</v>
      </c>
      <c r="M20" s="13">
        <v>11</v>
      </c>
      <c r="N20" s="14">
        <v>21</v>
      </c>
      <c r="O20" s="84">
        <v>25</v>
      </c>
      <c r="P20" s="13">
        <v>27</v>
      </c>
      <c r="Q20" s="13">
        <v>17</v>
      </c>
      <c r="R20" s="14">
        <v>6</v>
      </c>
      <c r="S20" s="86">
        <v>4</v>
      </c>
      <c r="T20" s="14">
        <v>1</v>
      </c>
      <c r="U20" s="13">
        <v>68</v>
      </c>
      <c r="V20" s="1"/>
      <c r="W20" s="1"/>
      <c r="X20" s="1"/>
      <c r="Y20" s="1"/>
      <c r="Z20" s="1"/>
      <c r="AA20" s="1"/>
      <c r="AB20" s="1"/>
      <c r="AC20" s="1"/>
    </row>
    <row r="21" spans="1:29" ht="12.75">
      <c r="A21" s="17" t="s">
        <v>76</v>
      </c>
      <c r="B21" s="13" t="s">
        <v>77</v>
      </c>
      <c r="C21" s="13"/>
      <c r="D21" s="13"/>
      <c r="E21" s="18"/>
      <c r="F21" s="14"/>
      <c r="G21" s="14"/>
      <c r="H21" s="18"/>
      <c r="I21" s="14"/>
      <c r="J21" s="14"/>
      <c r="K21" s="18"/>
      <c r="L21" s="13"/>
      <c r="M21" s="13"/>
      <c r="N21" s="14"/>
      <c r="O21" s="13"/>
      <c r="P21" s="13"/>
      <c r="Q21" s="13"/>
      <c r="R21" s="14"/>
      <c r="S21" s="14"/>
      <c r="T21" s="14"/>
      <c r="U21" s="13"/>
      <c r="V21" s="1"/>
      <c r="W21" s="1"/>
      <c r="X21" s="1"/>
      <c r="Y21" s="1"/>
      <c r="Z21" s="1"/>
      <c r="AA21" s="1"/>
      <c r="AB21" s="1"/>
      <c r="AC21" s="1"/>
    </row>
    <row r="22" spans="1:29" ht="12.75">
      <c r="A22" s="17" t="s">
        <v>127</v>
      </c>
      <c r="B22" s="13" t="s">
        <v>115</v>
      </c>
      <c r="C22" s="13">
        <v>22</v>
      </c>
      <c r="D22" s="13">
        <v>41</v>
      </c>
      <c r="E22" s="18">
        <f>22/41</f>
        <v>0.5365853658536586</v>
      </c>
      <c r="F22" s="38">
        <v>10</v>
      </c>
      <c r="G22" s="14">
        <v>24</v>
      </c>
      <c r="H22" s="18">
        <f>10/24</f>
        <v>0.4166666666666667</v>
      </c>
      <c r="I22" s="14">
        <v>10</v>
      </c>
      <c r="J22" s="14">
        <v>15</v>
      </c>
      <c r="K22" s="18">
        <f>10/15</f>
        <v>0.6666666666666666</v>
      </c>
      <c r="L22" s="13">
        <v>19</v>
      </c>
      <c r="M22" s="13">
        <v>6</v>
      </c>
      <c r="N22" s="14">
        <v>12</v>
      </c>
      <c r="O22" s="13">
        <v>23</v>
      </c>
      <c r="P22" s="13">
        <v>16</v>
      </c>
      <c r="Q22" s="13">
        <v>16</v>
      </c>
      <c r="R22" s="14">
        <v>18</v>
      </c>
      <c r="S22" s="14">
        <v>2</v>
      </c>
      <c r="T22" s="14">
        <v>2</v>
      </c>
      <c r="U22" s="13">
        <v>100</v>
      </c>
      <c r="V22" s="1"/>
      <c r="W22" s="1"/>
      <c r="X22" s="1"/>
      <c r="Y22" s="1"/>
      <c r="Z22" s="1"/>
      <c r="AA22" s="1"/>
      <c r="AB22" s="1"/>
      <c r="AC22" s="1"/>
    </row>
    <row r="23" spans="1:29" ht="12.75">
      <c r="A23" s="17" t="s">
        <v>128</v>
      </c>
      <c r="B23" s="13" t="s">
        <v>116</v>
      </c>
      <c r="C23" s="13">
        <v>24</v>
      </c>
      <c r="D23" s="13">
        <v>39</v>
      </c>
      <c r="E23" s="18">
        <f>24/39</f>
        <v>0.6153846153846154</v>
      </c>
      <c r="F23" s="14">
        <v>8</v>
      </c>
      <c r="G23" s="14">
        <v>18</v>
      </c>
      <c r="H23" s="18">
        <f>8/18</f>
        <v>0.4444444444444444</v>
      </c>
      <c r="I23" s="14">
        <v>15</v>
      </c>
      <c r="J23" s="14">
        <v>20</v>
      </c>
      <c r="K23" s="18">
        <f>15/20</f>
        <v>0.75</v>
      </c>
      <c r="L23" s="13">
        <v>26</v>
      </c>
      <c r="M23" s="13">
        <v>5</v>
      </c>
      <c r="N23" s="14">
        <v>16</v>
      </c>
      <c r="O23" s="13">
        <v>17</v>
      </c>
      <c r="P23" s="13">
        <v>22</v>
      </c>
      <c r="Q23" s="13">
        <v>18</v>
      </c>
      <c r="R23" s="14">
        <v>15</v>
      </c>
      <c r="S23" s="14">
        <v>2</v>
      </c>
      <c r="T23" s="14">
        <v>1</v>
      </c>
      <c r="U23" s="13">
        <v>101</v>
      </c>
      <c r="V23" s="1"/>
      <c r="W23" s="1"/>
      <c r="X23" s="1"/>
      <c r="Y23" s="1"/>
      <c r="Z23" s="1"/>
      <c r="AA23" s="1"/>
      <c r="AB23" s="1"/>
      <c r="AC23" s="1"/>
    </row>
    <row r="24" spans="1:29" ht="12.75">
      <c r="A24" s="17" t="s">
        <v>129</v>
      </c>
      <c r="B24" s="13" t="s">
        <v>117</v>
      </c>
      <c r="C24" s="13">
        <v>12</v>
      </c>
      <c r="D24" s="13">
        <v>35</v>
      </c>
      <c r="E24" s="18">
        <f>12/35</f>
        <v>0.34285714285714286</v>
      </c>
      <c r="F24" s="89">
        <v>3</v>
      </c>
      <c r="G24" s="14">
        <v>13</v>
      </c>
      <c r="H24" s="18">
        <f>3/13</f>
        <v>0.23076923076923078</v>
      </c>
      <c r="I24" s="14">
        <v>23</v>
      </c>
      <c r="J24" s="86">
        <v>38</v>
      </c>
      <c r="K24" s="18">
        <f>23/38</f>
        <v>0.6052631578947368</v>
      </c>
      <c r="L24" s="13">
        <v>28</v>
      </c>
      <c r="M24" s="13">
        <v>11</v>
      </c>
      <c r="N24" s="14">
        <v>15</v>
      </c>
      <c r="O24" s="13">
        <v>19</v>
      </c>
      <c r="P24" s="13">
        <v>20</v>
      </c>
      <c r="Q24" s="13">
        <v>27</v>
      </c>
      <c r="R24" s="14">
        <v>6</v>
      </c>
      <c r="S24" s="14">
        <v>2</v>
      </c>
      <c r="T24" s="14">
        <v>2</v>
      </c>
      <c r="U24" s="13">
        <v>64</v>
      </c>
      <c r="V24" s="1"/>
      <c r="W24" s="1"/>
      <c r="X24" s="1"/>
      <c r="Y24" s="1"/>
      <c r="Z24" s="1"/>
      <c r="AA24" s="1"/>
      <c r="AB24" s="1"/>
      <c r="AC24" s="1"/>
    </row>
    <row r="25" spans="1:29" ht="12.75">
      <c r="A25" s="17" t="s">
        <v>130</v>
      </c>
      <c r="B25" s="13" t="s">
        <v>118</v>
      </c>
      <c r="C25" s="87">
        <v>9</v>
      </c>
      <c r="D25" s="13">
        <v>34</v>
      </c>
      <c r="E25" s="18">
        <f>9/34</f>
        <v>0.2647058823529412</v>
      </c>
      <c r="F25" s="14">
        <v>9</v>
      </c>
      <c r="G25" s="14">
        <v>19</v>
      </c>
      <c r="H25" s="18">
        <f>9/19</f>
        <v>0.47368421052631576</v>
      </c>
      <c r="I25" s="14">
        <v>17</v>
      </c>
      <c r="J25" s="14">
        <v>26</v>
      </c>
      <c r="K25" s="18">
        <f>17/26</f>
        <v>0.6538461538461539</v>
      </c>
      <c r="L25" s="13">
        <v>16</v>
      </c>
      <c r="M25" s="13">
        <v>6</v>
      </c>
      <c r="N25" s="14">
        <v>14</v>
      </c>
      <c r="O25" s="13">
        <v>15</v>
      </c>
      <c r="P25" s="13">
        <v>22</v>
      </c>
      <c r="Q25" s="13">
        <v>20</v>
      </c>
      <c r="R25" s="14">
        <v>9</v>
      </c>
      <c r="S25" s="89">
        <v>0</v>
      </c>
      <c r="T25" s="86">
        <v>0</v>
      </c>
      <c r="U25" s="13">
        <v>48</v>
      </c>
      <c r="V25" s="1"/>
      <c r="W25" s="1"/>
      <c r="X25" s="1"/>
      <c r="Y25" s="1"/>
      <c r="Z25" s="1"/>
      <c r="AA25" s="1"/>
      <c r="AB25" s="1"/>
      <c r="AC25" s="1"/>
    </row>
    <row r="26" spans="1:29" ht="12.75">
      <c r="A26" s="17" t="s">
        <v>131</v>
      </c>
      <c r="B26" s="13" t="s">
        <v>119</v>
      </c>
      <c r="C26" s="13">
        <v>13</v>
      </c>
      <c r="D26" s="13">
        <v>40</v>
      </c>
      <c r="E26" s="18">
        <f>13/40</f>
        <v>0.325</v>
      </c>
      <c r="F26" s="14">
        <v>3</v>
      </c>
      <c r="G26" s="14">
        <v>16</v>
      </c>
      <c r="H26" s="88">
        <f>3/16</f>
        <v>0.1875</v>
      </c>
      <c r="I26" s="14">
        <v>18</v>
      </c>
      <c r="J26" s="14">
        <v>26</v>
      </c>
      <c r="K26" s="18">
        <f>18/26</f>
        <v>0.6923076923076923</v>
      </c>
      <c r="L26" s="13">
        <v>32</v>
      </c>
      <c r="M26" s="13">
        <v>8</v>
      </c>
      <c r="N26" s="14">
        <v>14</v>
      </c>
      <c r="O26" s="13">
        <v>19</v>
      </c>
      <c r="P26" s="13">
        <v>19</v>
      </c>
      <c r="Q26" s="13">
        <v>21</v>
      </c>
      <c r="R26" s="89">
        <v>3</v>
      </c>
      <c r="S26" s="14">
        <v>2</v>
      </c>
      <c r="T26" s="14">
        <v>1</v>
      </c>
      <c r="U26" s="13">
        <v>56</v>
      </c>
      <c r="V26" s="1"/>
      <c r="W26" s="1"/>
      <c r="X26" s="1"/>
      <c r="Y26" s="1"/>
      <c r="Z26" s="1"/>
      <c r="AA26" s="1"/>
      <c r="AB26" s="1"/>
      <c r="AC26" s="1"/>
    </row>
    <row r="27" spans="1:29" ht="12.75">
      <c r="A27" s="17" t="s">
        <v>132</v>
      </c>
      <c r="B27" s="13" t="s">
        <v>120</v>
      </c>
      <c r="C27" s="16">
        <v>21</v>
      </c>
      <c r="D27" s="13">
        <v>39</v>
      </c>
      <c r="E27" s="18">
        <f>21/39</f>
        <v>0.5384615384615384</v>
      </c>
      <c r="F27" s="14">
        <v>7</v>
      </c>
      <c r="G27" s="14">
        <v>23</v>
      </c>
      <c r="H27" s="18">
        <f>7/23</f>
        <v>0.30434782608695654</v>
      </c>
      <c r="I27" s="14">
        <v>8</v>
      </c>
      <c r="J27" s="14">
        <v>15</v>
      </c>
      <c r="K27" s="18">
        <f>8/15</f>
        <v>0.5333333333333333</v>
      </c>
      <c r="L27" s="13">
        <v>29</v>
      </c>
      <c r="M27" s="13">
        <v>7</v>
      </c>
      <c r="N27" s="14">
        <v>19</v>
      </c>
      <c r="O27" s="13">
        <v>23</v>
      </c>
      <c r="P27" s="13">
        <v>18</v>
      </c>
      <c r="Q27" s="13">
        <v>16</v>
      </c>
      <c r="R27" s="14">
        <v>10</v>
      </c>
      <c r="S27" s="14">
        <v>2</v>
      </c>
      <c r="T27" s="86">
        <v>0</v>
      </c>
      <c r="U27" s="13">
        <v>80</v>
      </c>
      <c r="V27" s="1"/>
      <c r="W27" s="1"/>
      <c r="X27" s="1"/>
      <c r="Y27" s="1"/>
      <c r="Z27" s="1"/>
      <c r="AA27" s="1"/>
      <c r="AB27" s="1"/>
      <c r="AC27" s="1"/>
    </row>
    <row r="28" spans="1:21" s="1" customFormat="1" ht="12.75">
      <c r="A28" s="17" t="s">
        <v>133</v>
      </c>
      <c r="B28" s="13" t="s">
        <v>121</v>
      </c>
      <c r="C28" s="69">
        <v>12</v>
      </c>
      <c r="D28" s="69">
        <v>33</v>
      </c>
      <c r="E28" s="18">
        <f>12/33</f>
        <v>0.36363636363636365</v>
      </c>
      <c r="F28" s="14">
        <v>7</v>
      </c>
      <c r="G28" s="14">
        <v>19</v>
      </c>
      <c r="H28" s="18">
        <f>7/19</f>
        <v>0.3684210526315789</v>
      </c>
      <c r="I28" s="14">
        <v>13</v>
      </c>
      <c r="J28" s="14">
        <v>19</v>
      </c>
      <c r="K28" s="18">
        <f>13/19</f>
        <v>0.6842105263157895</v>
      </c>
      <c r="L28" s="13">
        <v>25</v>
      </c>
      <c r="M28" s="13">
        <v>10</v>
      </c>
      <c r="N28" s="13">
        <v>21</v>
      </c>
      <c r="O28" s="13">
        <v>16</v>
      </c>
      <c r="P28" s="14">
        <v>19</v>
      </c>
      <c r="Q28" s="13">
        <v>18</v>
      </c>
      <c r="R28" s="14">
        <v>2</v>
      </c>
      <c r="S28" s="14">
        <v>1</v>
      </c>
      <c r="T28" s="14">
        <v>2</v>
      </c>
      <c r="U28" s="13">
        <v>49</v>
      </c>
    </row>
    <row r="29" spans="1:21" s="1" customFormat="1" ht="12.75">
      <c r="A29" s="17" t="s">
        <v>134</v>
      </c>
      <c r="B29" s="13" t="s">
        <v>122</v>
      </c>
      <c r="C29" s="69">
        <v>13</v>
      </c>
      <c r="D29" s="90">
        <v>25</v>
      </c>
      <c r="E29" s="18">
        <f>13/25</f>
        <v>0.52</v>
      </c>
      <c r="F29" s="14">
        <v>5</v>
      </c>
      <c r="G29" s="14">
        <v>20</v>
      </c>
      <c r="H29" s="18">
        <f>5/20</f>
        <v>0.25</v>
      </c>
      <c r="I29" s="14">
        <v>15</v>
      </c>
      <c r="J29" s="14">
        <v>25</v>
      </c>
      <c r="K29" s="18">
        <f>15/25</f>
        <v>0.6</v>
      </c>
      <c r="L29" s="13">
        <v>23</v>
      </c>
      <c r="M29" s="13">
        <v>6</v>
      </c>
      <c r="N29" s="13">
        <v>19</v>
      </c>
      <c r="O29" s="13">
        <v>15</v>
      </c>
      <c r="P29" s="14">
        <v>21</v>
      </c>
      <c r="Q29" s="13">
        <v>23</v>
      </c>
      <c r="R29" s="14">
        <v>4</v>
      </c>
      <c r="S29" s="14">
        <v>2</v>
      </c>
      <c r="T29" s="14">
        <v>2</v>
      </c>
      <c r="U29" s="13">
        <v>50</v>
      </c>
    </row>
    <row r="30" spans="1:21" s="1" customFormat="1" ht="12.75">
      <c r="A30" s="17" t="s">
        <v>135</v>
      </c>
      <c r="B30" s="13" t="s">
        <v>123</v>
      </c>
      <c r="C30" s="69">
        <v>17</v>
      </c>
      <c r="D30" s="69">
        <v>37</v>
      </c>
      <c r="E30" s="18">
        <f>17/37</f>
        <v>0.4594594594594595</v>
      </c>
      <c r="F30" s="14">
        <v>4</v>
      </c>
      <c r="G30" s="14">
        <v>15</v>
      </c>
      <c r="H30" s="18">
        <f>4/15</f>
        <v>0.26666666666666666</v>
      </c>
      <c r="I30" s="14">
        <v>15</v>
      </c>
      <c r="J30" s="14">
        <v>26</v>
      </c>
      <c r="K30" s="18">
        <f>15/26</f>
        <v>0.5769230769230769</v>
      </c>
      <c r="L30" s="13">
        <v>19</v>
      </c>
      <c r="M30" s="13">
        <v>11</v>
      </c>
      <c r="N30" s="13">
        <v>13</v>
      </c>
      <c r="O30" s="13">
        <v>14</v>
      </c>
      <c r="P30" s="14">
        <v>17</v>
      </c>
      <c r="Q30" s="13">
        <v>20</v>
      </c>
      <c r="R30" s="14">
        <v>8</v>
      </c>
      <c r="S30" s="14">
        <v>1</v>
      </c>
      <c r="T30" s="86">
        <v>0</v>
      </c>
      <c r="U30" s="13">
        <v>62</v>
      </c>
    </row>
    <row r="31" spans="1:21" s="1" customFormat="1" ht="12.75">
      <c r="A31" s="68" t="s">
        <v>136</v>
      </c>
      <c r="B31" s="13" t="s">
        <v>124</v>
      </c>
      <c r="C31" s="69">
        <v>21</v>
      </c>
      <c r="D31" s="69">
        <v>41</v>
      </c>
      <c r="E31" s="18">
        <f>21/41</f>
        <v>0.5121951219512195</v>
      </c>
      <c r="F31" s="14">
        <v>5</v>
      </c>
      <c r="G31" s="14">
        <v>15</v>
      </c>
      <c r="H31" s="18">
        <f>5/15</f>
        <v>0.3333333333333333</v>
      </c>
      <c r="I31" s="14">
        <v>16</v>
      </c>
      <c r="J31" s="14">
        <v>28</v>
      </c>
      <c r="K31" s="18">
        <f>16/28</f>
        <v>0.5714285714285714</v>
      </c>
      <c r="L31" s="84">
        <v>35</v>
      </c>
      <c r="M31" s="13">
        <v>12</v>
      </c>
      <c r="N31" s="13">
        <v>19</v>
      </c>
      <c r="O31" s="13">
        <v>17</v>
      </c>
      <c r="P31" s="14">
        <v>21</v>
      </c>
      <c r="Q31" s="13">
        <v>22</v>
      </c>
      <c r="R31" s="14">
        <v>9</v>
      </c>
      <c r="S31" s="14">
        <v>1</v>
      </c>
      <c r="T31" s="86">
        <v>0</v>
      </c>
      <c r="U31" s="13">
        <v>85</v>
      </c>
    </row>
    <row r="32" spans="1:21" s="1" customFormat="1" ht="12.75">
      <c r="A32" s="68" t="s">
        <v>137</v>
      </c>
      <c r="B32" s="13" t="s">
        <v>125</v>
      </c>
      <c r="C32" s="69">
        <v>15</v>
      </c>
      <c r="D32" s="69">
        <v>39</v>
      </c>
      <c r="E32" s="18">
        <f>15/39</f>
        <v>0.38461538461538464</v>
      </c>
      <c r="F32" s="14">
        <v>7</v>
      </c>
      <c r="G32" s="14">
        <v>15</v>
      </c>
      <c r="H32" s="18">
        <f>7/15</f>
        <v>0.4666666666666667</v>
      </c>
      <c r="I32" s="14">
        <v>19</v>
      </c>
      <c r="J32" s="14">
        <v>27</v>
      </c>
      <c r="K32" s="18">
        <f>19/27</f>
        <v>0.7037037037037037</v>
      </c>
      <c r="L32" s="13">
        <v>21</v>
      </c>
      <c r="M32" s="13">
        <v>7</v>
      </c>
      <c r="N32" s="13">
        <v>21</v>
      </c>
      <c r="O32" s="84">
        <v>25</v>
      </c>
      <c r="P32" s="14">
        <v>18</v>
      </c>
      <c r="Q32" s="13">
        <v>26</v>
      </c>
      <c r="R32" s="14">
        <v>9</v>
      </c>
      <c r="S32" s="14">
        <v>1</v>
      </c>
      <c r="T32" s="14">
        <v>2</v>
      </c>
      <c r="U32" s="13">
        <v>78</v>
      </c>
    </row>
    <row r="33" spans="1:21" s="1" customFormat="1" ht="12.75">
      <c r="A33" s="17" t="s">
        <v>138</v>
      </c>
      <c r="B33" s="13" t="s">
        <v>126</v>
      </c>
      <c r="C33" s="69">
        <v>14</v>
      </c>
      <c r="D33" s="69">
        <v>32</v>
      </c>
      <c r="E33" s="18">
        <f>14/32</f>
        <v>0.4375</v>
      </c>
      <c r="F33" s="14">
        <v>9</v>
      </c>
      <c r="G33" s="86">
        <v>25</v>
      </c>
      <c r="H33" s="18">
        <f>9/25</f>
        <v>0.36</v>
      </c>
      <c r="I33" s="14">
        <v>8</v>
      </c>
      <c r="J33" s="14">
        <v>18</v>
      </c>
      <c r="K33" s="88">
        <f>8/18</f>
        <v>0.4444444444444444</v>
      </c>
      <c r="L33" s="13">
        <v>23</v>
      </c>
      <c r="M33" s="13">
        <v>5</v>
      </c>
      <c r="N33" s="13">
        <v>17</v>
      </c>
      <c r="O33" s="13">
        <v>17</v>
      </c>
      <c r="P33" s="14">
        <v>16</v>
      </c>
      <c r="Q33" s="13">
        <v>19</v>
      </c>
      <c r="R33" s="14">
        <v>7</v>
      </c>
      <c r="S33" s="14">
        <v>2</v>
      </c>
      <c r="T33" s="14">
        <v>2</v>
      </c>
      <c r="U33" s="13">
        <v>56</v>
      </c>
    </row>
    <row r="34" spans="1:21" s="1" customFormat="1" ht="12.75">
      <c r="A34" s="17"/>
      <c r="B34" s="13" t="s">
        <v>144</v>
      </c>
      <c r="C34" s="69"/>
      <c r="D34" s="69"/>
      <c r="E34" s="18"/>
      <c r="F34" s="14"/>
      <c r="G34" s="14"/>
      <c r="H34" s="18"/>
      <c r="I34" s="14"/>
      <c r="J34" s="14"/>
      <c r="K34" s="18"/>
      <c r="L34" s="13"/>
      <c r="M34" s="13"/>
      <c r="N34" s="13"/>
      <c r="O34" s="13"/>
      <c r="P34" s="14"/>
      <c r="Q34" s="13"/>
      <c r="R34" s="14"/>
      <c r="S34" s="14"/>
      <c r="T34" s="14"/>
      <c r="U34" s="13"/>
    </row>
    <row r="35" spans="1:21" s="1" customFormat="1" ht="12.75">
      <c r="A35" s="17" t="s">
        <v>141</v>
      </c>
      <c r="B35" s="13" t="s">
        <v>142</v>
      </c>
      <c r="C35" s="69">
        <v>13</v>
      </c>
      <c r="D35" s="69">
        <v>39</v>
      </c>
      <c r="E35" s="18">
        <f>13/39</f>
        <v>0.3333333333333333</v>
      </c>
      <c r="F35" s="86">
        <v>11</v>
      </c>
      <c r="G35" s="14">
        <v>19</v>
      </c>
      <c r="H35" s="85">
        <f>11/19</f>
        <v>0.5789473684210527</v>
      </c>
      <c r="I35" s="14">
        <v>27</v>
      </c>
      <c r="J35" s="14">
        <v>45</v>
      </c>
      <c r="K35" s="18">
        <f>27/45</f>
        <v>0.6</v>
      </c>
      <c r="L35" s="13">
        <v>20</v>
      </c>
      <c r="M35" s="13">
        <v>7</v>
      </c>
      <c r="N35" s="13">
        <v>15</v>
      </c>
      <c r="O35" s="13">
        <v>23</v>
      </c>
      <c r="P35" s="14">
        <v>20</v>
      </c>
      <c r="Q35" s="13">
        <v>22</v>
      </c>
      <c r="R35" s="14">
        <v>4</v>
      </c>
      <c r="S35" s="89">
        <v>0</v>
      </c>
      <c r="T35" s="14">
        <v>2</v>
      </c>
      <c r="U35" s="13">
        <v>73</v>
      </c>
    </row>
    <row r="36" spans="1:21" s="1" customFormat="1" ht="12.75">
      <c r="A36" s="17" t="s">
        <v>139</v>
      </c>
      <c r="B36" s="13" t="s">
        <v>143</v>
      </c>
      <c r="C36" s="69">
        <v>15</v>
      </c>
      <c r="D36" s="69">
        <v>35</v>
      </c>
      <c r="E36" s="18">
        <f>15/35</f>
        <v>0.42857142857142855</v>
      </c>
      <c r="F36" s="14">
        <v>6</v>
      </c>
      <c r="G36" s="14">
        <v>22</v>
      </c>
      <c r="H36" s="18">
        <f>6/22</f>
        <v>0.2727272727272727</v>
      </c>
      <c r="I36" s="14">
        <v>22</v>
      </c>
      <c r="J36" s="14">
        <v>30</v>
      </c>
      <c r="K36" s="18">
        <f>22/30</f>
        <v>0.7333333333333333</v>
      </c>
      <c r="L36" s="13">
        <v>21</v>
      </c>
      <c r="M36" s="13">
        <v>9</v>
      </c>
      <c r="N36" s="13">
        <v>18</v>
      </c>
      <c r="O36" s="13">
        <v>16</v>
      </c>
      <c r="P36" s="14">
        <v>26</v>
      </c>
      <c r="Q36" s="13">
        <v>23</v>
      </c>
      <c r="R36" s="14">
        <v>5</v>
      </c>
      <c r="S36" s="14">
        <v>2</v>
      </c>
      <c r="T36" s="14">
        <v>2</v>
      </c>
      <c r="U36" s="13">
        <v>56</v>
      </c>
    </row>
    <row r="37" spans="1:21" s="1" customFormat="1" ht="12.75">
      <c r="A37" s="17" t="s">
        <v>140</v>
      </c>
      <c r="B37" s="43" t="s">
        <v>142</v>
      </c>
      <c r="C37" s="43">
        <v>14</v>
      </c>
      <c r="D37" s="43">
        <v>41</v>
      </c>
      <c r="E37" s="10">
        <f>14/41</f>
        <v>0.34146341463414637</v>
      </c>
      <c r="F37" s="11">
        <v>5</v>
      </c>
      <c r="G37" s="11">
        <v>18</v>
      </c>
      <c r="H37" s="10">
        <f>5/18</f>
        <v>0.2777777777777778</v>
      </c>
      <c r="I37" s="11">
        <v>14</v>
      </c>
      <c r="J37" s="11">
        <v>26</v>
      </c>
      <c r="K37" s="10">
        <f>14/26</f>
        <v>0.5384615384615384</v>
      </c>
      <c r="L37" s="9">
        <v>29</v>
      </c>
      <c r="M37" s="9">
        <v>7</v>
      </c>
      <c r="N37" s="91">
        <v>9</v>
      </c>
      <c r="O37" s="92">
        <v>11</v>
      </c>
      <c r="P37" s="9">
        <v>24</v>
      </c>
      <c r="Q37" s="9">
        <v>21</v>
      </c>
      <c r="R37" s="11">
        <v>6</v>
      </c>
      <c r="S37" s="11">
        <v>2</v>
      </c>
      <c r="T37" s="11">
        <v>2</v>
      </c>
      <c r="U37" s="9">
        <v>48</v>
      </c>
    </row>
    <row r="38" spans="1:21" s="1" customFormat="1" ht="12.75">
      <c r="A38" s="17"/>
      <c r="B38" s="43"/>
      <c r="C38" s="43"/>
      <c r="D38" s="43"/>
      <c r="E38" s="10"/>
      <c r="F38" s="11"/>
      <c r="G38" s="11"/>
      <c r="H38" s="10"/>
      <c r="I38" s="11"/>
      <c r="J38" s="11"/>
      <c r="K38" s="10"/>
      <c r="L38" s="9"/>
      <c r="M38" s="9"/>
      <c r="N38" s="11"/>
      <c r="O38" s="9"/>
      <c r="P38" s="9"/>
      <c r="Q38" s="9"/>
      <c r="R38" s="11"/>
      <c r="S38" s="11"/>
      <c r="T38" s="11"/>
      <c r="U38" s="9"/>
    </row>
    <row r="39" spans="1:22" ht="12.75">
      <c r="A39" s="35" t="s">
        <v>37</v>
      </c>
      <c r="B39" s="40" t="s">
        <v>145</v>
      </c>
      <c r="C39" s="40"/>
      <c r="D39" s="40"/>
      <c r="E39" s="39"/>
      <c r="F39" s="55"/>
      <c r="G39" s="55"/>
      <c r="H39" s="39"/>
      <c r="I39" s="55"/>
      <c r="J39" s="55"/>
      <c r="K39" s="39"/>
      <c r="L39" s="37">
        <v>633</v>
      </c>
      <c r="M39" s="37">
        <v>217</v>
      </c>
      <c r="N39" s="63">
        <v>436</v>
      </c>
      <c r="O39" s="37">
        <v>479</v>
      </c>
      <c r="P39" s="37">
        <v>537</v>
      </c>
      <c r="Q39" s="37">
        <v>532</v>
      </c>
      <c r="R39" s="63">
        <v>200</v>
      </c>
      <c r="S39" s="63">
        <v>40</v>
      </c>
      <c r="T39" s="63">
        <v>38</v>
      </c>
      <c r="U39" s="37">
        <v>1823</v>
      </c>
      <c r="V39" s="8"/>
    </row>
    <row r="40" spans="1:21" ht="12.75">
      <c r="A40" s="3"/>
      <c r="B40" s="61" t="s">
        <v>146</v>
      </c>
      <c r="C40" s="61">
        <v>450</v>
      </c>
      <c r="D40" s="61">
        <v>1012</v>
      </c>
      <c r="E40" s="67">
        <f>450/1012</f>
        <v>0.44466403162055335</v>
      </c>
      <c r="F40" s="56">
        <v>173</v>
      </c>
      <c r="G40" s="62">
        <v>475</v>
      </c>
      <c r="H40" s="66">
        <f>173/475</f>
        <v>0.3642105263157895</v>
      </c>
      <c r="I40" s="56">
        <v>410</v>
      </c>
      <c r="J40" s="56">
        <v>641</v>
      </c>
      <c r="K40" s="66">
        <f>410/641</f>
        <v>0.6396255850234009</v>
      </c>
      <c r="L40" s="64">
        <f>633/26</f>
        <v>24.346153846153847</v>
      </c>
      <c r="M40" s="64">
        <f>217/23</f>
        <v>9.434782608695652</v>
      </c>
      <c r="N40" s="64">
        <f>436/26</f>
        <v>16.76923076923077</v>
      </c>
      <c r="O40" s="64">
        <f>479/26</f>
        <v>18.423076923076923</v>
      </c>
      <c r="P40" s="64">
        <f>537/26</f>
        <v>20.653846153846153</v>
      </c>
      <c r="Q40" s="56">
        <f>532/26</f>
        <v>20.46153846153846</v>
      </c>
      <c r="R40" s="64">
        <f>200/26</f>
        <v>7.6923076923076925</v>
      </c>
      <c r="S40" s="64">
        <f>40/26</f>
        <v>1.5384615384615385</v>
      </c>
      <c r="T40" s="64">
        <f>38/26</f>
        <v>1.4615384615384615</v>
      </c>
      <c r="U40" s="64">
        <f>1823/26</f>
        <v>70.11538461538461</v>
      </c>
    </row>
    <row r="41" spans="1:21" ht="12.75">
      <c r="A41" s="58"/>
      <c r="B41" t="s">
        <v>13</v>
      </c>
      <c r="C41" s="59"/>
      <c r="D41" s="60"/>
      <c r="E41" t="s">
        <v>12</v>
      </c>
      <c r="F41" s="8"/>
      <c r="G41" s="19"/>
      <c r="H41" s="8"/>
      <c r="I41" s="8"/>
      <c r="J41" s="8"/>
      <c r="K41" s="8"/>
      <c r="L41" s="8"/>
      <c r="M41" s="8"/>
      <c r="N41" s="19"/>
      <c r="O41" s="8"/>
      <c r="P41" s="8"/>
      <c r="Q41" s="8"/>
      <c r="R41" s="36"/>
      <c r="S41" s="36"/>
      <c r="T41" s="36"/>
      <c r="U41" s="13"/>
    </row>
    <row r="42" spans="1:23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  <c r="O42" s="49"/>
      <c r="P42" s="49"/>
      <c r="Q42" s="49"/>
      <c r="R42" s="36"/>
      <c r="S42" s="36"/>
      <c r="T42" s="36"/>
      <c r="U42" s="3"/>
      <c r="V42" s="49"/>
      <c r="W42" s="49"/>
    </row>
    <row r="43" spans="1:59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6"/>
      <c r="V43" s="36"/>
      <c r="W43" s="36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5"/>
      <c r="M44" s="13"/>
      <c r="N44" s="11"/>
      <c r="O44" s="9"/>
      <c r="P44" s="13"/>
      <c r="Q44" s="13"/>
      <c r="R44" s="14"/>
      <c r="S44" s="14"/>
      <c r="T44" s="14"/>
      <c r="U44" s="13"/>
      <c r="V44" s="13"/>
      <c r="W44" s="1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5"/>
      <c r="M45" s="13"/>
      <c r="N45" s="11"/>
      <c r="O45" s="9"/>
      <c r="P45" s="13"/>
      <c r="Q45" s="11"/>
      <c r="R45" s="9"/>
      <c r="S45" s="14"/>
      <c r="T45" s="14"/>
      <c r="U45" s="13"/>
      <c r="V45" s="13"/>
      <c r="W45" s="1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5"/>
      <c r="M46" s="13"/>
      <c r="N46" s="11"/>
      <c r="O46" s="9"/>
      <c r="P46" s="13"/>
      <c r="Q46" s="11"/>
      <c r="R46" s="9"/>
      <c r="S46" s="14"/>
      <c r="T46" s="14"/>
      <c r="U46" s="13"/>
      <c r="V46" s="13"/>
      <c r="W46" s="1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23" ht="12.75">
      <c r="A47" s="8"/>
      <c r="B47" s="8"/>
      <c r="C47" s="8"/>
      <c r="D47" s="8"/>
      <c r="E47" s="9"/>
      <c r="F47" s="9"/>
      <c r="G47" s="9"/>
      <c r="H47" s="13"/>
      <c r="I47" s="13"/>
      <c r="J47" s="13"/>
      <c r="K47" s="13"/>
      <c r="L47" s="12"/>
      <c r="M47" s="9"/>
      <c r="N47" s="12"/>
      <c r="O47" s="9"/>
      <c r="P47" s="9"/>
      <c r="Q47" s="11"/>
      <c r="R47" s="9"/>
      <c r="S47" s="11"/>
      <c r="T47" s="11"/>
      <c r="U47" s="9"/>
      <c r="V47" s="8"/>
      <c r="W47" s="8"/>
    </row>
    <row r="48" spans="1:23" ht="12.75">
      <c r="A48" s="8"/>
      <c r="B48" s="8"/>
      <c r="C48" s="8"/>
      <c r="D48" s="8"/>
      <c r="E48" s="9"/>
      <c r="F48" s="9"/>
      <c r="G48" s="9"/>
      <c r="H48" s="13"/>
      <c r="I48" s="13"/>
      <c r="J48" s="13"/>
      <c r="K48" s="13"/>
      <c r="L48" s="12"/>
      <c r="M48" s="9"/>
      <c r="N48" s="12"/>
      <c r="O48" s="9"/>
      <c r="P48" s="9"/>
      <c r="Q48" s="9"/>
      <c r="R48" s="11"/>
      <c r="S48" s="11"/>
      <c r="T48" s="11"/>
      <c r="U48" s="9"/>
      <c r="V48" s="8"/>
      <c r="W48" s="8"/>
    </row>
    <row r="49" spans="1:23" ht="12.75">
      <c r="A49" s="8"/>
      <c r="B49" s="8"/>
      <c r="C49" s="8"/>
      <c r="D49" s="8"/>
      <c r="E49" s="9"/>
      <c r="F49" s="9"/>
      <c r="G49" s="9"/>
      <c r="H49" s="13"/>
      <c r="I49" s="13"/>
      <c r="J49" s="13"/>
      <c r="K49" s="13"/>
      <c r="L49" s="12"/>
      <c r="M49" s="9"/>
      <c r="N49" s="12"/>
      <c r="O49" s="9"/>
      <c r="P49" s="9"/>
      <c r="Q49" s="9"/>
      <c r="R49" s="11"/>
      <c r="S49" s="11"/>
      <c r="T49" s="11"/>
      <c r="U49" s="9"/>
      <c r="V49" s="8"/>
      <c r="W49" s="8"/>
    </row>
    <row r="50" spans="1:23" ht="12.75">
      <c r="A50" s="8"/>
      <c r="B50" s="8"/>
      <c r="C50" s="8"/>
      <c r="D50" s="8"/>
      <c r="E50" s="9"/>
      <c r="F50" s="9"/>
      <c r="G50" s="9"/>
      <c r="H50" s="13"/>
      <c r="I50" s="13"/>
      <c r="J50" s="13"/>
      <c r="K50" s="13"/>
      <c r="L50" s="12"/>
      <c r="M50" s="9"/>
      <c r="N50" s="12"/>
      <c r="O50" s="9"/>
      <c r="P50" s="9"/>
      <c r="Q50" s="9"/>
      <c r="R50" s="11"/>
      <c r="S50" s="11"/>
      <c r="T50" s="11"/>
      <c r="U50" s="9"/>
      <c r="V50" s="8"/>
      <c r="W50" s="8"/>
    </row>
    <row r="51" spans="1:23" ht="12.75">
      <c r="A51" s="8"/>
      <c r="B51" s="8"/>
      <c r="C51" s="8"/>
      <c r="D51" s="8"/>
      <c r="E51" s="9"/>
      <c r="F51" s="9"/>
      <c r="G51" s="9"/>
      <c r="H51" s="13"/>
      <c r="I51" s="13"/>
      <c r="J51" s="13"/>
      <c r="K51" s="13"/>
      <c r="L51" s="12"/>
      <c r="M51" s="9"/>
      <c r="N51" s="12"/>
      <c r="O51" s="9"/>
      <c r="P51" s="9"/>
      <c r="Q51" s="9"/>
      <c r="R51" s="11"/>
      <c r="S51" s="11"/>
      <c r="T51" s="11"/>
      <c r="U51" s="9"/>
      <c r="V51" s="8"/>
      <c r="W51" s="8"/>
    </row>
    <row r="52" spans="1:23" ht="12.75">
      <c r="A52" s="8"/>
      <c r="B52" s="8"/>
      <c r="C52" s="8"/>
      <c r="D52" s="8"/>
      <c r="E52" s="9"/>
      <c r="F52" s="9"/>
      <c r="G52" s="9"/>
      <c r="H52" s="13"/>
      <c r="I52" s="13"/>
      <c r="J52" s="13"/>
      <c r="K52" s="13"/>
      <c r="L52" s="12"/>
      <c r="M52" s="9"/>
      <c r="N52" s="12"/>
      <c r="O52" s="9"/>
      <c r="P52" s="9"/>
      <c r="Q52" s="9"/>
      <c r="R52" s="11"/>
      <c r="S52" s="11"/>
      <c r="T52" s="11"/>
      <c r="U52" s="9"/>
      <c r="V52" s="8"/>
      <c r="W52" s="8"/>
    </row>
    <row r="53" spans="1:23" ht="12.75">
      <c r="A53" s="8"/>
      <c r="B53" s="8"/>
      <c r="C53" s="8"/>
      <c r="D53" s="8"/>
      <c r="E53" s="9"/>
      <c r="F53" s="9"/>
      <c r="G53" s="9"/>
      <c r="H53" s="13"/>
      <c r="I53" s="13"/>
      <c r="J53" s="13"/>
      <c r="K53" s="13"/>
      <c r="L53" s="12"/>
      <c r="M53" s="9"/>
      <c r="N53" s="12"/>
      <c r="O53" s="9"/>
      <c r="P53" s="9"/>
      <c r="Q53" s="9"/>
      <c r="R53" s="11"/>
      <c r="S53" s="11"/>
      <c r="T53" s="11"/>
      <c r="U53" s="9"/>
      <c r="V53" s="8"/>
      <c r="W53" s="8"/>
    </row>
    <row r="54" spans="1:23" ht="12.75">
      <c r="A54" s="8"/>
      <c r="B54" s="8"/>
      <c r="C54" s="8"/>
      <c r="D54" s="8"/>
      <c r="E54" s="9"/>
      <c r="F54" s="9"/>
      <c r="G54" s="9"/>
      <c r="H54" s="13"/>
      <c r="I54" s="13"/>
      <c r="J54" s="13"/>
      <c r="K54" s="13"/>
      <c r="L54" s="12"/>
      <c r="M54" s="9"/>
      <c r="N54" s="12"/>
      <c r="O54" s="9"/>
      <c r="P54" s="9"/>
      <c r="Q54" s="9"/>
      <c r="R54" s="11"/>
      <c r="S54" s="11"/>
      <c r="T54" s="11"/>
      <c r="U54" s="9"/>
      <c r="V54" s="8"/>
      <c r="W54" s="8"/>
    </row>
    <row r="55" spans="1:23" ht="12.75">
      <c r="A55" s="8"/>
      <c r="B55" s="8"/>
      <c r="C55" s="8"/>
      <c r="D55" s="8"/>
      <c r="E55" s="9"/>
      <c r="F55" s="9"/>
      <c r="G55" s="9"/>
      <c r="H55" s="13"/>
      <c r="I55" s="13"/>
      <c r="J55" s="13"/>
      <c r="K55" s="13"/>
      <c r="L55" s="12"/>
      <c r="M55" s="9"/>
      <c r="N55" s="12"/>
      <c r="O55" s="9"/>
      <c r="P55" s="9"/>
      <c r="Q55" s="9"/>
      <c r="R55" s="11"/>
      <c r="S55" s="11"/>
      <c r="T55" s="11"/>
      <c r="U55" s="9"/>
      <c r="V55" s="8"/>
      <c r="W55" s="8"/>
    </row>
    <row r="56" spans="1:23" ht="12.75">
      <c r="A56" s="8"/>
      <c r="B56" s="8"/>
      <c r="C56" s="8"/>
      <c r="D56" s="8"/>
      <c r="E56" s="9"/>
      <c r="F56" s="9"/>
      <c r="G56" s="9"/>
      <c r="H56" s="13"/>
      <c r="I56" s="13"/>
      <c r="J56" s="13"/>
      <c r="K56" s="13"/>
      <c r="L56" s="12"/>
      <c r="M56" s="9"/>
      <c r="N56" s="12"/>
      <c r="O56" s="9"/>
      <c r="P56" s="9"/>
      <c r="Q56" s="9"/>
      <c r="R56" s="11"/>
      <c r="S56" s="11"/>
      <c r="T56" s="11"/>
      <c r="U56" s="9"/>
      <c r="V56" s="8"/>
      <c r="W56" s="8"/>
    </row>
    <row r="57" spans="1:23" ht="12.75">
      <c r="A57" s="8"/>
      <c r="B57" s="21"/>
      <c r="C57" s="21"/>
      <c r="D57" s="21"/>
      <c r="E57" s="9"/>
      <c r="F57" s="9"/>
      <c r="G57" s="9"/>
      <c r="H57" s="13"/>
      <c r="I57" s="13"/>
      <c r="J57" s="13"/>
      <c r="K57" s="13"/>
      <c r="L57" s="12"/>
      <c r="M57" s="9"/>
      <c r="N57" s="12"/>
      <c r="O57" s="9"/>
      <c r="P57" s="9"/>
      <c r="Q57" s="9"/>
      <c r="R57" s="11"/>
      <c r="S57" s="11"/>
      <c r="T57" s="11"/>
      <c r="U57" s="9"/>
      <c r="V57" s="8"/>
      <c r="W57" s="8"/>
    </row>
    <row r="58" spans="1:23" ht="12.75">
      <c r="A58" s="8"/>
      <c r="B58" s="8"/>
      <c r="C58" s="8"/>
      <c r="D58" s="8"/>
      <c r="E58" s="9"/>
      <c r="F58" s="9"/>
      <c r="G58" s="9"/>
      <c r="H58" s="13"/>
      <c r="I58" s="13"/>
      <c r="J58" s="13"/>
      <c r="K58" s="13"/>
      <c r="L58" s="12"/>
      <c r="M58" s="9"/>
      <c r="N58" s="12"/>
      <c r="O58" s="9"/>
      <c r="P58" s="9"/>
      <c r="Q58" s="9"/>
      <c r="R58" s="11"/>
      <c r="S58" s="11"/>
      <c r="T58" s="11"/>
      <c r="U58" s="9"/>
      <c r="V58" s="8"/>
      <c r="W58" s="8"/>
    </row>
    <row r="59" spans="1:23" ht="12.75">
      <c r="A59" s="8"/>
      <c r="B59" s="8"/>
      <c r="C59" s="8"/>
      <c r="D59" s="8"/>
      <c r="E59" s="9"/>
      <c r="F59" s="9"/>
      <c r="G59" s="9"/>
      <c r="H59" s="13"/>
      <c r="I59" s="13"/>
      <c r="J59" s="13"/>
      <c r="K59" s="13"/>
      <c r="L59" s="12"/>
      <c r="M59" s="9"/>
      <c r="N59" s="12"/>
      <c r="O59" s="9"/>
      <c r="P59" s="9"/>
      <c r="Q59" s="9"/>
      <c r="R59" s="11"/>
      <c r="S59" s="11"/>
      <c r="T59" s="11"/>
      <c r="U59" s="9"/>
      <c r="V59" s="8"/>
      <c r="W59" s="8"/>
    </row>
    <row r="60" spans="1:23" ht="12.75">
      <c r="A60" s="8"/>
      <c r="B60" s="8"/>
      <c r="C60" s="8"/>
      <c r="D60" s="8"/>
      <c r="E60" s="9"/>
      <c r="F60" s="9"/>
      <c r="G60" s="9"/>
      <c r="H60" s="13"/>
      <c r="I60" s="13"/>
      <c r="J60" s="13"/>
      <c r="K60" s="13"/>
      <c r="L60" s="12"/>
      <c r="M60" s="9"/>
      <c r="N60" s="12"/>
      <c r="O60" s="9"/>
      <c r="P60" s="9"/>
      <c r="Q60" s="9"/>
      <c r="R60" s="11"/>
      <c r="S60" s="11"/>
      <c r="T60" s="11"/>
      <c r="U60" s="9"/>
      <c r="V60" s="8"/>
      <c r="W60" s="8"/>
    </row>
    <row r="61" spans="1:23" ht="12.75">
      <c r="A61" s="8"/>
      <c r="B61" s="21"/>
      <c r="C61" s="21"/>
      <c r="D61" s="21"/>
      <c r="E61" s="9"/>
      <c r="F61" s="9"/>
      <c r="G61" s="9"/>
      <c r="H61" s="13"/>
      <c r="I61" s="13"/>
      <c r="J61" s="13"/>
      <c r="K61" s="13"/>
      <c r="L61" s="15"/>
      <c r="M61" s="13"/>
      <c r="N61" s="15"/>
      <c r="O61" s="13"/>
      <c r="P61" s="13"/>
      <c r="Q61" s="13"/>
      <c r="R61" s="14"/>
      <c r="S61" s="14"/>
      <c r="T61" s="14"/>
      <c r="U61" s="9"/>
      <c r="V61" s="8"/>
      <c r="W61" s="8"/>
    </row>
    <row r="62" spans="1:23" ht="12.75">
      <c r="A62" s="8"/>
      <c r="B62" s="8"/>
      <c r="C62" s="8"/>
      <c r="D62" s="8"/>
      <c r="E62" s="9"/>
      <c r="F62" s="9"/>
      <c r="G62" s="9"/>
      <c r="H62" s="13"/>
      <c r="I62" s="13"/>
      <c r="J62" s="13"/>
      <c r="K62" s="9"/>
      <c r="L62" s="12"/>
      <c r="M62" s="9"/>
      <c r="N62" s="12"/>
      <c r="O62" s="9"/>
      <c r="P62" s="9"/>
      <c r="Q62" s="9"/>
      <c r="R62" s="11"/>
      <c r="S62" s="11"/>
      <c r="T62" s="11"/>
      <c r="U62" s="9"/>
      <c r="V62" s="8"/>
      <c r="W62" s="8"/>
    </row>
    <row r="63" spans="1:23" ht="12.75">
      <c r="A63" s="8"/>
      <c r="B63" s="8"/>
      <c r="C63" s="8"/>
      <c r="D63" s="8"/>
      <c r="E63" s="9"/>
      <c r="F63" s="9"/>
      <c r="G63" s="9"/>
      <c r="H63" s="13"/>
      <c r="I63" s="13"/>
      <c r="J63" s="13"/>
      <c r="K63" s="9"/>
      <c r="L63" s="9"/>
      <c r="M63" s="9"/>
      <c r="N63" s="12"/>
      <c r="O63" s="9"/>
      <c r="P63" s="9"/>
      <c r="Q63" s="9"/>
      <c r="R63" s="11"/>
      <c r="S63" s="11"/>
      <c r="T63" s="11"/>
      <c r="U63" s="8"/>
      <c r="V63" s="8"/>
      <c r="W63" s="8"/>
    </row>
    <row r="64" spans="1:23" ht="12.75">
      <c r="A64" s="8"/>
      <c r="B64" s="8"/>
      <c r="C64" s="8"/>
      <c r="D64" s="8"/>
      <c r="E64" s="9"/>
      <c r="F64" s="9"/>
      <c r="G64" s="9"/>
      <c r="H64" s="13"/>
      <c r="I64" s="13"/>
      <c r="J64" s="13"/>
      <c r="K64" s="9"/>
      <c r="L64" s="9"/>
      <c r="M64" s="8"/>
      <c r="N64" s="19"/>
      <c r="O64" s="8"/>
      <c r="P64" s="8"/>
      <c r="Q64" s="8"/>
      <c r="R64" s="19"/>
      <c r="S64" s="19"/>
      <c r="T64" s="19"/>
      <c r="V64" s="8"/>
      <c r="W64" s="8"/>
    </row>
    <row r="65" spans="1:23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  <c r="O65" s="45"/>
      <c r="P65" s="45"/>
      <c r="Q65" s="45"/>
      <c r="R65" s="47"/>
      <c r="S65" s="47"/>
      <c r="T65" s="47"/>
      <c r="U65" s="44"/>
      <c r="V65" s="48"/>
      <c r="W65" s="48"/>
    </row>
    <row r="66" spans="1:22" ht="12.75">
      <c r="A66" s="8"/>
      <c r="B66" s="8"/>
      <c r="C66" s="8"/>
      <c r="D66" s="8"/>
      <c r="E66" s="27"/>
      <c r="F66" s="27"/>
      <c r="G66" s="27"/>
      <c r="H66" s="27"/>
      <c r="I66" s="27"/>
      <c r="J66" s="27"/>
      <c r="K66" s="27"/>
      <c r="L66" s="17"/>
      <c r="M66" s="28"/>
      <c r="N66" s="29"/>
      <c r="O66" s="28"/>
      <c r="P66" s="28"/>
      <c r="Q66" s="28"/>
      <c r="R66" s="31"/>
      <c r="S66" s="31"/>
      <c r="T66" s="31"/>
      <c r="U66" s="25"/>
      <c r="V66" s="1"/>
    </row>
    <row r="67" spans="1:22" ht="12.75">
      <c r="A67" s="8"/>
      <c r="B67" s="8"/>
      <c r="C67" s="8"/>
      <c r="D67" s="8"/>
      <c r="E67" s="18"/>
      <c r="F67" s="18"/>
      <c r="G67" s="18"/>
      <c r="H67" s="18"/>
      <c r="I67" s="18"/>
      <c r="J67" s="18"/>
      <c r="K67" s="18"/>
      <c r="L67" s="9"/>
      <c r="M67" s="12"/>
      <c r="N67" s="11"/>
      <c r="O67" s="12"/>
      <c r="P67" s="12"/>
      <c r="Q67" s="12"/>
      <c r="R67" s="26"/>
      <c r="S67" s="26"/>
      <c r="T67" s="26"/>
      <c r="U67" s="25"/>
      <c r="V67" s="1"/>
    </row>
    <row r="68" spans="1:22" ht="12.75">
      <c r="A68" s="8"/>
      <c r="B68" s="8"/>
      <c r="C68" s="8"/>
      <c r="D68" s="8"/>
      <c r="E68" s="18"/>
      <c r="F68" s="18"/>
      <c r="G68" s="18"/>
      <c r="H68" s="18"/>
      <c r="I68" s="18"/>
      <c r="J68" s="18"/>
      <c r="K68" s="18"/>
      <c r="L68" s="9"/>
      <c r="M68" s="12"/>
      <c r="N68" s="11"/>
      <c r="O68" s="12"/>
      <c r="P68" s="12"/>
      <c r="Q68" s="12"/>
      <c r="R68" s="26"/>
      <c r="S68" s="26"/>
      <c r="T68" s="26"/>
      <c r="U68" s="25"/>
      <c r="V68" s="1"/>
    </row>
    <row r="69" spans="1:22" ht="12.75">
      <c r="A69" s="8"/>
      <c r="B69" s="8"/>
      <c r="C69" s="8"/>
      <c r="D69" s="8"/>
      <c r="E69" s="18"/>
      <c r="F69" s="18"/>
      <c r="G69" s="18"/>
      <c r="H69" s="18"/>
      <c r="I69" s="18"/>
      <c r="J69" s="18"/>
      <c r="K69" s="18"/>
      <c r="L69" s="9"/>
      <c r="M69" s="12"/>
      <c r="N69" s="11"/>
      <c r="O69" s="12"/>
      <c r="P69" s="12"/>
      <c r="Q69" s="12"/>
      <c r="R69" s="26"/>
      <c r="S69" s="26"/>
      <c r="T69" s="26"/>
      <c r="U69" s="25"/>
      <c r="V69" s="1"/>
    </row>
    <row r="70" spans="1:22" ht="12.75">
      <c r="A70" s="8"/>
      <c r="B70" s="8"/>
      <c r="C70" s="8"/>
      <c r="D70" s="8"/>
      <c r="E70" s="18"/>
      <c r="F70" s="18"/>
      <c r="G70" s="18"/>
      <c r="H70" s="18"/>
      <c r="I70" s="18"/>
      <c r="J70" s="18"/>
      <c r="K70" s="18"/>
      <c r="L70" s="9"/>
      <c r="M70" s="12"/>
      <c r="N70" s="11"/>
      <c r="O70" s="12"/>
      <c r="P70" s="12"/>
      <c r="Q70" s="12"/>
      <c r="R70" s="26"/>
      <c r="S70" s="26"/>
      <c r="T70" s="26"/>
      <c r="U70" s="25"/>
      <c r="V70" s="1"/>
    </row>
    <row r="71" spans="1:22" ht="12.75">
      <c r="A71" s="8"/>
      <c r="B71" s="8"/>
      <c r="C71" s="8"/>
      <c r="D71" s="8"/>
      <c r="E71" s="18"/>
      <c r="F71" s="18"/>
      <c r="G71" s="18"/>
      <c r="H71" s="18"/>
      <c r="I71" s="18"/>
      <c r="J71" s="18"/>
      <c r="K71" s="18"/>
      <c r="L71" s="9"/>
      <c r="M71" s="12"/>
      <c r="N71" s="11"/>
      <c r="O71" s="12"/>
      <c r="P71" s="12"/>
      <c r="Q71" s="12"/>
      <c r="R71" s="26"/>
      <c r="S71" s="26"/>
      <c r="T71" s="26"/>
      <c r="U71" s="25"/>
      <c r="V71" s="1"/>
    </row>
    <row r="72" spans="1:22" ht="12.75">
      <c r="A72" s="8"/>
      <c r="B72" s="8"/>
      <c r="C72" s="8"/>
      <c r="D72" s="8"/>
      <c r="E72" s="18"/>
      <c r="F72" s="18"/>
      <c r="G72" s="18"/>
      <c r="H72" s="18"/>
      <c r="I72" s="18"/>
      <c r="J72" s="18"/>
      <c r="K72" s="18"/>
      <c r="L72" s="9"/>
      <c r="M72" s="12"/>
      <c r="N72" s="11"/>
      <c r="O72" s="12"/>
      <c r="P72" s="12"/>
      <c r="Q72" s="12"/>
      <c r="R72" s="26"/>
      <c r="S72" s="26"/>
      <c r="T72" s="26"/>
      <c r="U72" s="25"/>
      <c r="V72" s="1"/>
    </row>
    <row r="73" spans="1:22" ht="12.75">
      <c r="A73" s="8"/>
      <c r="B73" s="8"/>
      <c r="C73" s="8"/>
      <c r="D73" s="8"/>
      <c r="E73" s="18"/>
      <c r="F73" s="18"/>
      <c r="G73" s="18"/>
      <c r="H73" s="18"/>
      <c r="I73" s="18"/>
      <c r="J73" s="18"/>
      <c r="K73" s="18"/>
      <c r="L73" s="9"/>
      <c r="M73" s="12"/>
      <c r="N73" s="11"/>
      <c r="O73" s="12"/>
      <c r="P73" s="12"/>
      <c r="Q73" s="12"/>
      <c r="R73" s="26"/>
      <c r="S73" s="26"/>
      <c r="T73" s="26"/>
      <c r="U73" s="25"/>
      <c r="V73" s="1"/>
    </row>
    <row r="74" spans="1:22" ht="12.75">
      <c r="A74" s="8"/>
      <c r="B74" s="8"/>
      <c r="C74" s="8"/>
      <c r="D74" s="8"/>
      <c r="E74" s="18"/>
      <c r="F74" s="18"/>
      <c r="G74" s="18"/>
      <c r="H74" s="18"/>
      <c r="I74" s="18"/>
      <c r="J74" s="18"/>
      <c r="K74" s="18"/>
      <c r="L74" s="9"/>
      <c r="M74" s="12"/>
      <c r="N74" s="11"/>
      <c r="O74" s="12"/>
      <c r="P74" s="12"/>
      <c r="Q74" s="12"/>
      <c r="R74" s="26"/>
      <c r="S74" s="26"/>
      <c r="T74" s="26"/>
      <c r="U74" s="25"/>
      <c r="V74" s="1"/>
    </row>
    <row r="75" spans="1:22" ht="12.75">
      <c r="A75" s="8"/>
      <c r="B75" s="8"/>
      <c r="C75" s="8"/>
      <c r="D75" s="8"/>
      <c r="E75" s="18"/>
      <c r="F75" s="18"/>
      <c r="G75" s="18"/>
      <c r="H75" s="18"/>
      <c r="I75" s="18"/>
      <c r="J75" s="18"/>
      <c r="K75" s="18"/>
      <c r="L75" s="9"/>
      <c r="M75" s="12"/>
      <c r="N75" s="11"/>
      <c r="O75" s="12"/>
      <c r="P75" s="12"/>
      <c r="Q75" s="12"/>
      <c r="R75" s="26"/>
      <c r="S75" s="26"/>
      <c r="T75" s="26"/>
      <c r="U75" s="25"/>
      <c r="V75" s="1"/>
    </row>
    <row r="76" spans="1:22" ht="12.75">
      <c r="A76" s="8"/>
      <c r="B76" s="8"/>
      <c r="C76" s="8"/>
      <c r="D76" s="8"/>
      <c r="E76" s="18"/>
      <c r="F76" s="18"/>
      <c r="G76" s="18"/>
      <c r="H76" s="18"/>
      <c r="I76" s="18"/>
      <c r="J76" s="18"/>
      <c r="K76" s="18"/>
      <c r="L76" s="9"/>
      <c r="M76" s="12"/>
      <c r="N76" s="11"/>
      <c r="O76" s="12"/>
      <c r="P76" s="12"/>
      <c r="Q76" s="12"/>
      <c r="R76" s="26"/>
      <c r="S76" s="26"/>
      <c r="T76" s="26"/>
      <c r="U76" s="25"/>
      <c r="V76" s="1"/>
    </row>
    <row r="77" spans="1:22" ht="12.75">
      <c r="A77" s="8"/>
      <c r="B77" s="8"/>
      <c r="C77" s="8"/>
      <c r="D77" s="8"/>
      <c r="E77" s="18"/>
      <c r="F77" s="18"/>
      <c r="G77" s="18"/>
      <c r="H77" s="18"/>
      <c r="I77" s="18"/>
      <c r="J77" s="18"/>
      <c r="K77" s="18"/>
      <c r="L77" s="9"/>
      <c r="M77" s="12"/>
      <c r="N77" s="11"/>
      <c r="O77" s="12"/>
      <c r="P77" s="12"/>
      <c r="Q77" s="12"/>
      <c r="R77" s="26"/>
      <c r="S77" s="26"/>
      <c r="T77" s="26"/>
      <c r="U77" s="25"/>
      <c r="V77" s="1"/>
    </row>
    <row r="78" spans="1:22" ht="12.75">
      <c r="A78" s="8"/>
      <c r="B78" s="8"/>
      <c r="C78" s="8"/>
      <c r="D78" s="8"/>
      <c r="E78" s="18"/>
      <c r="F78" s="18"/>
      <c r="G78" s="18"/>
      <c r="H78" s="18"/>
      <c r="I78" s="18"/>
      <c r="J78" s="18"/>
      <c r="K78" s="18"/>
      <c r="L78" s="9"/>
      <c r="M78" s="12"/>
      <c r="N78" s="11"/>
      <c r="O78" s="12"/>
      <c r="P78" s="12"/>
      <c r="Q78" s="12"/>
      <c r="R78" s="26"/>
      <c r="S78" s="26"/>
      <c r="T78" s="26"/>
      <c r="U78" s="25"/>
      <c r="V78" s="1"/>
    </row>
    <row r="79" spans="1:22" ht="12.75">
      <c r="A79" s="8"/>
      <c r="B79" s="21"/>
      <c r="C79" s="21"/>
      <c r="D79" s="21"/>
      <c r="E79" s="18"/>
      <c r="F79" s="18"/>
      <c r="G79" s="18"/>
      <c r="H79" s="18"/>
      <c r="I79" s="18"/>
      <c r="J79" s="18"/>
      <c r="K79" s="18"/>
      <c r="L79" s="9"/>
      <c r="M79" s="12"/>
      <c r="N79" s="11"/>
      <c r="O79" s="12"/>
      <c r="P79" s="12"/>
      <c r="Q79" s="12"/>
      <c r="R79" s="26"/>
      <c r="S79" s="26"/>
      <c r="T79" s="26"/>
      <c r="U79" s="25"/>
      <c r="V79" s="1"/>
    </row>
    <row r="80" spans="1:22" ht="12.75">
      <c r="A80" s="8"/>
      <c r="B80" s="8"/>
      <c r="C80" s="8"/>
      <c r="D80" s="8"/>
      <c r="E80" s="18"/>
      <c r="F80" s="18"/>
      <c r="G80" s="18"/>
      <c r="H80" s="18"/>
      <c r="I80" s="18"/>
      <c r="J80" s="18"/>
      <c r="K80" s="18"/>
      <c r="L80" s="9"/>
      <c r="M80" s="12"/>
      <c r="N80" s="11"/>
      <c r="O80" s="12"/>
      <c r="P80" s="12"/>
      <c r="Q80" s="12"/>
      <c r="R80" s="26"/>
      <c r="S80" s="26"/>
      <c r="T80" s="26"/>
      <c r="U80" s="25"/>
      <c r="V80" s="1"/>
    </row>
    <row r="81" spans="1:22" ht="12.75">
      <c r="A81" s="8"/>
      <c r="B81" s="8"/>
      <c r="C81" s="8"/>
      <c r="D81" s="8"/>
      <c r="E81" s="18"/>
      <c r="F81" s="18"/>
      <c r="G81" s="18"/>
      <c r="H81" s="18"/>
      <c r="I81" s="18"/>
      <c r="J81" s="18"/>
      <c r="K81" s="18"/>
      <c r="L81" s="9"/>
      <c r="M81" s="12"/>
      <c r="N81" s="11"/>
      <c r="O81" s="12"/>
      <c r="P81" s="12"/>
      <c r="Q81" s="12"/>
      <c r="R81" s="26"/>
      <c r="S81" s="26"/>
      <c r="T81" s="26"/>
      <c r="U81" s="25"/>
      <c r="V81" s="1"/>
    </row>
    <row r="82" spans="1:22" ht="12.75">
      <c r="A82" s="8"/>
      <c r="B82" s="8"/>
      <c r="C82" s="8"/>
      <c r="D82" s="8"/>
      <c r="E82" s="18"/>
      <c r="F82" s="18"/>
      <c r="G82" s="18"/>
      <c r="H82" s="18"/>
      <c r="I82" s="18"/>
      <c r="J82" s="18"/>
      <c r="K82" s="18"/>
      <c r="L82" s="9"/>
      <c r="M82" s="12"/>
      <c r="N82" s="11"/>
      <c r="O82" s="12"/>
      <c r="P82" s="12"/>
      <c r="Q82" s="12"/>
      <c r="R82" s="32"/>
      <c r="S82" s="32"/>
      <c r="T82" s="32"/>
      <c r="U82" s="25"/>
      <c r="V82" s="1"/>
    </row>
    <row r="83" spans="1:22" ht="12.75">
      <c r="A83" s="8"/>
      <c r="B83" s="21"/>
      <c r="C83" s="21"/>
      <c r="D83" s="21"/>
      <c r="E83" s="18"/>
      <c r="F83" s="18"/>
      <c r="G83" s="18"/>
      <c r="H83" s="18"/>
      <c r="I83" s="18"/>
      <c r="J83" s="18"/>
      <c r="K83" s="33"/>
      <c r="L83" s="13"/>
      <c r="M83" s="12"/>
      <c r="N83" s="14"/>
      <c r="O83" s="12"/>
      <c r="P83" s="12"/>
      <c r="Q83" s="12"/>
      <c r="R83" s="32"/>
      <c r="S83" s="32"/>
      <c r="T83" s="32"/>
      <c r="U83" s="25"/>
      <c r="V83" s="1"/>
    </row>
    <row r="84" spans="1:22" ht="12.75">
      <c r="A84" s="8"/>
      <c r="B84" s="8"/>
      <c r="C84" s="8"/>
      <c r="D84" s="8"/>
      <c r="E84" s="18"/>
      <c r="F84" s="18"/>
      <c r="G84" s="18"/>
      <c r="H84" s="18"/>
      <c r="I84" s="18"/>
      <c r="J84" s="18"/>
      <c r="K84" s="18"/>
      <c r="L84" s="9"/>
      <c r="M84" s="12"/>
      <c r="N84" s="11"/>
      <c r="O84" s="12"/>
      <c r="P84" s="12"/>
      <c r="Q84" s="12"/>
      <c r="R84" s="32"/>
      <c r="S84" s="32"/>
      <c r="T84" s="32"/>
      <c r="U84" s="25"/>
      <c r="V84" s="1"/>
    </row>
    <row r="85" spans="5:22" ht="12.7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</sheetData>
  <printOptions/>
  <pageMargins left="0" right="0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selection activeCell="A1" sqref="A1"/>
    </sheetView>
  </sheetViews>
  <sheetFormatPr defaultColWidth="9.140625" defaultRowHeight="12.75"/>
  <cols>
    <col min="2" max="2" width="17.8515625" style="0" customWidth="1"/>
    <col min="3" max="3" width="8.00390625" style="0" customWidth="1"/>
    <col min="4" max="4" width="7.57421875" style="0" customWidth="1"/>
    <col min="5" max="5" width="8.421875" style="0" customWidth="1"/>
    <col min="6" max="6" width="7.57421875" style="0" customWidth="1"/>
    <col min="7" max="7" width="8.57421875" style="0" customWidth="1"/>
    <col min="8" max="8" width="7.421875" style="0" customWidth="1"/>
    <col min="9" max="9" width="6.8515625" style="0" customWidth="1"/>
    <col min="10" max="10" width="7.140625" style="0" customWidth="1"/>
    <col min="11" max="11" width="6.57421875" style="0" customWidth="1"/>
    <col min="12" max="12" width="6.421875" style="0" customWidth="1"/>
    <col min="13" max="13" width="6.7109375" style="0" customWidth="1"/>
    <col min="14" max="14" width="6.140625" style="0" customWidth="1"/>
    <col min="15" max="15" width="6.57421875" style="0" customWidth="1"/>
    <col min="16" max="16" width="6.421875" style="0" customWidth="1"/>
    <col min="17" max="17" width="7.00390625" style="0" customWidth="1"/>
    <col min="18" max="18" width="6.57421875" style="0" customWidth="1"/>
  </cols>
  <sheetData>
    <row r="1" spans="1:18" ht="12.75">
      <c r="A1" s="4" t="s">
        <v>14</v>
      </c>
      <c r="B1" s="4" t="s">
        <v>15</v>
      </c>
      <c r="C1" s="41" t="s">
        <v>16</v>
      </c>
      <c r="D1" s="4" t="s">
        <v>17</v>
      </c>
      <c r="E1" s="4" t="s">
        <v>18</v>
      </c>
      <c r="F1" s="4" t="s">
        <v>34</v>
      </c>
      <c r="G1" s="4" t="s">
        <v>20</v>
      </c>
      <c r="H1" s="4" t="s">
        <v>19</v>
      </c>
      <c r="I1" s="4" t="s">
        <v>20</v>
      </c>
      <c r="J1" s="4" t="s">
        <v>21</v>
      </c>
      <c r="K1" s="4" t="s">
        <v>20</v>
      </c>
      <c r="L1" s="4" t="s">
        <v>22</v>
      </c>
      <c r="M1" s="5" t="s">
        <v>23</v>
      </c>
      <c r="N1" s="4" t="s">
        <v>24</v>
      </c>
      <c r="O1" s="6" t="s">
        <v>25</v>
      </c>
      <c r="P1" s="5" t="s">
        <v>26</v>
      </c>
      <c r="Q1" s="5" t="s">
        <v>35</v>
      </c>
      <c r="R1" s="5" t="s">
        <v>36</v>
      </c>
    </row>
    <row r="2" spans="1:18" ht="12.75">
      <c r="A2" s="8">
        <v>10</v>
      </c>
      <c r="B2" s="65" t="s">
        <v>55</v>
      </c>
      <c r="C2" s="9">
        <v>12</v>
      </c>
      <c r="D2" s="9">
        <v>40</v>
      </c>
      <c r="E2" s="12">
        <f>40/12</f>
        <v>3.3333333333333335</v>
      </c>
      <c r="F2" s="9">
        <v>307</v>
      </c>
      <c r="G2" s="12">
        <f>307/12</f>
        <v>25.583333333333332</v>
      </c>
      <c r="H2" s="9">
        <v>26</v>
      </c>
      <c r="I2" s="12">
        <f>26/12</f>
        <v>2.1666666666666665</v>
      </c>
      <c r="J2" s="9">
        <v>11</v>
      </c>
      <c r="K2" s="12">
        <f>11/12</f>
        <v>0.9166666666666666</v>
      </c>
      <c r="L2" s="9">
        <v>23</v>
      </c>
      <c r="M2" s="11">
        <v>4</v>
      </c>
      <c r="N2" s="11">
        <v>27</v>
      </c>
      <c r="O2" s="12">
        <f>27/12</f>
        <v>2.25</v>
      </c>
      <c r="P2" s="9">
        <v>15</v>
      </c>
      <c r="Q2" s="8">
        <v>0</v>
      </c>
      <c r="R2" s="8">
        <v>3</v>
      </c>
    </row>
    <row r="3" spans="1:18" ht="12.75">
      <c r="A3" s="8">
        <v>12</v>
      </c>
      <c r="B3" s="65" t="s">
        <v>53</v>
      </c>
      <c r="C3" s="9">
        <v>14</v>
      </c>
      <c r="D3" s="9">
        <v>90</v>
      </c>
      <c r="E3" s="12">
        <f>90/14</f>
        <v>6.428571428571429</v>
      </c>
      <c r="F3" s="9">
        <v>322</v>
      </c>
      <c r="G3" s="12">
        <f>322/14</f>
        <v>23</v>
      </c>
      <c r="H3" s="9">
        <v>19</v>
      </c>
      <c r="I3" s="12">
        <f>19/14</f>
        <v>1.3571428571428572</v>
      </c>
      <c r="J3" s="9">
        <v>26</v>
      </c>
      <c r="K3" s="12">
        <f>26/14</f>
        <v>1.8571428571428572</v>
      </c>
      <c r="L3" s="9">
        <v>27</v>
      </c>
      <c r="M3" s="11">
        <v>6</v>
      </c>
      <c r="N3" s="11">
        <v>33</v>
      </c>
      <c r="O3" s="15">
        <f>33/14</f>
        <v>2.357142857142857</v>
      </c>
      <c r="P3" s="9">
        <v>16</v>
      </c>
      <c r="Q3" s="8">
        <v>1</v>
      </c>
      <c r="R3" s="8">
        <v>0</v>
      </c>
    </row>
    <row r="4" spans="1:18" ht="12.75">
      <c r="A4" s="8">
        <v>5</v>
      </c>
      <c r="B4" s="65" t="s">
        <v>51</v>
      </c>
      <c r="C4" s="9">
        <v>10</v>
      </c>
      <c r="D4" s="9">
        <v>10</v>
      </c>
      <c r="E4" s="12">
        <f>10/10</f>
        <v>1</v>
      </c>
      <c r="F4" s="13">
        <v>94</v>
      </c>
      <c r="G4" s="12">
        <f>94/10</f>
        <v>9.4</v>
      </c>
      <c r="H4" s="13">
        <v>15</v>
      </c>
      <c r="I4" s="12">
        <f>15/10</f>
        <v>1.5</v>
      </c>
      <c r="J4" s="9">
        <v>7</v>
      </c>
      <c r="K4" s="12">
        <f>7/10</f>
        <v>0.7</v>
      </c>
      <c r="L4" s="9">
        <v>10</v>
      </c>
      <c r="M4" s="11">
        <v>1</v>
      </c>
      <c r="N4" s="11">
        <v>11</v>
      </c>
      <c r="O4" s="12">
        <f>11/10</f>
        <v>1.1</v>
      </c>
      <c r="P4" s="9">
        <v>1</v>
      </c>
      <c r="Q4" s="8">
        <v>0</v>
      </c>
      <c r="R4" s="8">
        <v>2</v>
      </c>
    </row>
    <row r="5" spans="1:18" ht="12.75">
      <c r="A5" s="8">
        <v>16</v>
      </c>
      <c r="B5" s="65" t="s">
        <v>56</v>
      </c>
      <c r="C5" s="9">
        <v>2</v>
      </c>
      <c r="D5" s="9">
        <v>12</v>
      </c>
      <c r="E5" s="12">
        <v>6</v>
      </c>
      <c r="F5" s="13">
        <v>42</v>
      </c>
      <c r="G5" s="12">
        <f>42/2</f>
        <v>21</v>
      </c>
      <c r="H5" s="13">
        <v>3</v>
      </c>
      <c r="I5" s="12">
        <f>3/2</f>
        <v>1.5</v>
      </c>
      <c r="J5" s="9">
        <v>4</v>
      </c>
      <c r="K5" s="12">
        <f>4/2</f>
        <v>2</v>
      </c>
      <c r="L5" s="9">
        <v>6</v>
      </c>
      <c r="M5" s="11">
        <v>0</v>
      </c>
      <c r="N5" s="11">
        <v>6</v>
      </c>
      <c r="O5" s="15">
        <f>6/2</f>
        <v>3</v>
      </c>
      <c r="P5" s="9">
        <v>1</v>
      </c>
      <c r="Q5" s="8">
        <v>0</v>
      </c>
      <c r="R5" s="8">
        <v>0</v>
      </c>
    </row>
    <row r="6" spans="1:18" ht="12.75">
      <c r="A6" s="8">
        <v>21</v>
      </c>
      <c r="B6" s="65" t="s">
        <v>57</v>
      </c>
      <c r="C6" s="9">
        <v>7</v>
      </c>
      <c r="D6" s="9">
        <v>44</v>
      </c>
      <c r="E6" s="12">
        <f>44/7</f>
        <v>6.285714285714286</v>
      </c>
      <c r="F6" s="13">
        <v>197</v>
      </c>
      <c r="G6" s="12">
        <f>197/7</f>
        <v>28.142857142857142</v>
      </c>
      <c r="H6" s="13">
        <v>17</v>
      </c>
      <c r="I6" s="12">
        <f>17/7</f>
        <v>2.4285714285714284</v>
      </c>
      <c r="J6" s="9">
        <v>18</v>
      </c>
      <c r="K6" s="12">
        <f>18/7</f>
        <v>2.5714285714285716</v>
      </c>
      <c r="L6" s="9">
        <v>38</v>
      </c>
      <c r="M6" s="11">
        <v>1</v>
      </c>
      <c r="N6" s="11">
        <v>39</v>
      </c>
      <c r="O6" s="15">
        <f>39/7</f>
        <v>5.571428571428571</v>
      </c>
      <c r="P6" s="9">
        <v>27</v>
      </c>
      <c r="Q6" s="8">
        <v>0</v>
      </c>
      <c r="R6" s="8">
        <v>1</v>
      </c>
    </row>
    <row r="7" spans="1:18" ht="12.75">
      <c r="A7" s="8">
        <v>8</v>
      </c>
      <c r="B7" s="65" t="s">
        <v>38</v>
      </c>
      <c r="C7" s="9">
        <v>23</v>
      </c>
      <c r="D7" s="9">
        <v>191</v>
      </c>
      <c r="E7" s="12">
        <f>191/23</f>
        <v>8.304347826086957</v>
      </c>
      <c r="F7" s="70">
        <v>483</v>
      </c>
      <c r="G7" s="71">
        <f>483/22</f>
        <v>21.954545454545453</v>
      </c>
      <c r="H7" s="70">
        <v>53</v>
      </c>
      <c r="I7" s="71">
        <f>53/22</f>
        <v>2.409090909090909</v>
      </c>
      <c r="J7" s="72">
        <v>61</v>
      </c>
      <c r="K7" s="71">
        <f>61/22</f>
        <v>2.772727272727273</v>
      </c>
      <c r="L7" s="72">
        <v>39</v>
      </c>
      <c r="M7" s="73">
        <v>13</v>
      </c>
      <c r="N7" s="73">
        <v>52</v>
      </c>
      <c r="O7" s="71">
        <f>52/22</f>
        <v>2.3636363636363638</v>
      </c>
      <c r="P7" s="72">
        <v>21</v>
      </c>
      <c r="Q7" s="72">
        <v>1</v>
      </c>
      <c r="R7" s="72">
        <v>4</v>
      </c>
    </row>
    <row r="8" spans="1:18" ht="12.75">
      <c r="A8" s="8">
        <v>6</v>
      </c>
      <c r="B8" s="65" t="s">
        <v>64</v>
      </c>
      <c r="C8" s="9">
        <v>16</v>
      </c>
      <c r="D8" s="9">
        <v>58</v>
      </c>
      <c r="E8" s="12">
        <f>58/16</f>
        <v>3.625</v>
      </c>
      <c r="F8" s="70">
        <v>250</v>
      </c>
      <c r="G8" s="71">
        <f>250/15</f>
        <v>16.666666666666668</v>
      </c>
      <c r="H8" s="70">
        <v>27</v>
      </c>
      <c r="I8" s="71">
        <f>27/15</f>
        <v>1.8</v>
      </c>
      <c r="J8" s="72">
        <v>20</v>
      </c>
      <c r="K8" s="71">
        <f>20/15</f>
        <v>1.3333333333333333</v>
      </c>
      <c r="L8" s="72">
        <v>49</v>
      </c>
      <c r="M8" s="73">
        <v>5</v>
      </c>
      <c r="N8" s="73">
        <v>54</v>
      </c>
      <c r="O8" s="78">
        <f>51/15</f>
        <v>3.4</v>
      </c>
      <c r="P8" s="72">
        <v>4</v>
      </c>
      <c r="Q8" s="72">
        <v>7</v>
      </c>
      <c r="R8" s="72">
        <v>3</v>
      </c>
    </row>
    <row r="9" spans="1:18" ht="12.75">
      <c r="A9" s="8">
        <v>7</v>
      </c>
      <c r="B9" s="65" t="s">
        <v>27</v>
      </c>
      <c r="C9" s="9">
        <v>25</v>
      </c>
      <c r="D9" s="9">
        <v>299</v>
      </c>
      <c r="E9" s="12">
        <f>299/25</f>
        <v>11.96</v>
      </c>
      <c r="F9" s="70">
        <v>530</v>
      </c>
      <c r="G9" s="71">
        <f>530/24</f>
        <v>22.083333333333332</v>
      </c>
      <c r="H9" s="70">
        <v>49</v>
      </c>
      <c r="I9" s="71">
        <f>49/24</f>
        <v>2.0416666666666665</v>
      </c>
      <c r="J9" s="72">
        <v>23</v>
      </c>
      <c r="K9" s="71">
        <f>23/24</f>
        <v>0.9583333333333334</v>
      </c>
      <c r="L9" s="72">
        <v>42</v>
      </c>
      <c r="M9" s="73">
        <v>4</v>
      </c>
      <c r="N9" s="73">
        <v>46</v>
      </c>
      <c r="O9" s="71">
        <f>46/24</f>
        <v>1.9166666666666667</v>
      </c>
      <c r="P9" s="72">
        <v>12</v>
      </c>
      <c r="Q9" s="72">
        <v>1</v>
      </c>
      <c r="R9" s="72">
        <v>2</v>
      </c>
    </row>
    <row r="10" spans="1:18" ht="12.75">
      <c r="A10" s="8">
        <v>40</v>
      </c>
      <c r="B10" s="65" t="s">
        <v>107</v>
      </c>
      <c r="C10" s="9">
        <v>1</v>
      </c>
      <c r="D10" s="9">
        <v>2</v>
      </c>
      <c r="E10" s="12">
        <f>2/1</f>
        <v>2</v>
      </c>
      <c r="F10" s="13">
        <v>26</v>
      </c>
      <c r="G10" s="12">
        <f>26/1</f>
        <v>26</v>
      </c>
      <c r="H10" s="13">
        <v>2</v>
      </c>
      <c r="I10" s="12">
        <f>2/1</f>
        <v>2</v>
      </c>
      <c r="J10" s="9">
        <v>1</v>
      </c>
      <c r="K10" s="12">
        <f>1/1</f>
        <v>1</v>
      </c>
      <c r="L10" s="9">
        <v>2</v>
      </c>
      <c r="M10" s="11">
        <v>2</v>
      </c>
      <c r="N10" s="11">
        <v>4</v>
      </c>
      <c r="O10" s="12">
        <f>4/1</f>
        <v>4</v>
      </c>
      <c r="P10" s="9">
        <v>1</v>
      </c>
      <c r="Q10" s="9">
        <v>0</v>
      </c>
      <c r="R10" s="9">
        <v>1</v>
      </c>
    </row>
    <row r="11" spans="1:18" ht="12.75">
      <c r="A11" s="8">
        <v>24</v>
      </c>
      <c r="B11" s="65" t="s">
        <v>65</v>
      </c>
      <c r="C11" s="9">
        <v>19</v>
      </c>
      <c r="D11" s="9">
        <v>113</v>
      </c>
      <c r="E11" s="12">
        <f>113/19</f>
        <v>5.947368421052632</v>
      </c>
      <c r="F11" s="13">
        <v>375</v>
      </c>
      <c r="G11" s="12">
        <f>375/19</f>
        <v>19.736842105263158</v>
      </c>
      <c r="H11" s="13">
        <v>36</v>
      </c>
      <c r="I11" s="12">
        <f>36/19</f>
        <v>1.894736842105263</v>
      </c>
      <c r="J11" s="9">
        <v>38</v>
      </c>
      <c r="K11" s="12">
        <f>38/19</f>
        <v>2</v>
      </c>
      <c r="L11" s="9">
        <v>35</v>
      </c>
      <c r="M11" s="11">
        <v>21</v>
      </c>
      <c r="N11" s="11">
        <v>56</v>
      </c>
      <c r="O11" s="15">
        <f>56/19</f>
        <v>2.9473684210526314</v>
      </c>
      <c r="P11" s="9">
        <v>10</v>
      </c>
      <c r="Q11" s="8">
        <v>0</v>
      </c>
      <c r="R11" s="8">
        <v>2</v>
      </c>
    </row>
    <row r="12" spans="1:18" ht="12.75">
      <c r="A12" s="8">
        <v>19</v>
      </c>
      <c r="B12" s="65" t="s">
        <v>66</v>
      </c>
      <c r="C12" s="9">
        <v>3</v>
      </c>
      <c r="D12" s="9">
        <v>9</v>
      </c>
      <c r="E12" s="12">
        <f>9/3</f>
        <v>3</v>
      </c>
      <c r="F12" s="70">
        <v>17</v>
      </c>
      <c r="G12" s="71">
        <f>17/2</f>
        <v>8.5</v>
      </c>
      <c r="H12" s="70">
        <v>2</v>
      </c>
      <c r="I12" s="71">
        <f>2/2</f>
        <v>1</v>
      </c>
      <c r="J12" s="72">
        <v>0</v>
      </c>
      <c r="K12" s="71">
        <f>0/2</f>
        <v>0</v>
      </c>
      <c r="L12" s="72">
        <v>1</v>
      </c>
      <c r="M12" s="73">
        <v>0</v>
      </c>
      <c r="N12" s="73">
        <v>1</v>
      </c>
      <c r="O12" s="71">
        <f>1/2</f>
        <v>0.5</v>
      </c>
      <c r="P12" s="72">
        <v>1</v>
      </c>
      <c r="Q12" s="72">
        <v>0</v>
      </c>
      <c r="R12" s="72">
        <v>0</v>
      </c>
    </row>
    <row r="13" spans="1:18" ht="12.75">
      <c r="A13" s="8">
        <v>20</v>
      </c>
      <c r="B13" s="65" t="s">
        <v>50</v>
      </c>
      <c r="C13" s="9">
        <v>0</v>
      </c>
      <c r="D13" s="9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9">
        <v>0</v>
      </c>
      <c r="K13" s="12">
        <v>0</v>
      </c>
      <c r="L13" s="9">
        <v>0</v>
      </c>
      <c r="M13" s="11">
        <v>0</v>
      </c>
      <c r="N13" s="11">
        <v>0</v>
      </c>
      <c r="O13" s="12">
        <v>0</v>
      </c>
      <c r="P13" s="9">
        <v>0</v>
      </c>
      <c r="Q13" s="8">
        <v>0</v>
      </c>
      <c r="R13" s="8">
        <v>0</v>
      </c>
    </row>
    <row r="14" spans="1:18" ht="12.75">
      <c r="A14" s="8">
        <v>15</v>
      </c>
      <c r="B14" s="65" t="s">
        <v>67</v>
      </c>
      <c r="C14" s="9">
        <v>11</v>
      </c>
      <c r="D14" s="9">
        <v>47</v>
      </c>
      <c r="E14" s="12">
        <f>47/11</f>
        <v>4.2727272727272725</v>
      </c>
      <c r="F14" s="13">
        <v>186</v>
      </c>
      <c r="G14" s="12">
        <f>186/11</f>
        <v>16.90909090909091</v>
      </c>
      <c r="H14" s="13">
        <v>15</v>
      </c>
      <c r="I14" s="12">
        <f>15/11</f>
        <v>1.3636363636363635</v>
      </c>
      <c r="J14" s="9">
        <v>25</v>
      </c>
      <c r="K14" s="12">
        <f>25/11</f>
        <v>2.272727272727273</v>
      </c>
      <c r="L14" s="9">
        <v>29</v>
      </c>
      <c r="M14" s="11">
        <v>10</v>
      </c>
      <c r="N14" s="11">
        <v>39</v>
      </c>
      <c r="O14" s="12">
        <f>39/11</f>
        <v>3.5454545454545454</v>
      </c>
      <c r="P14" s="9">
        <v>8</v>
      </c>
      <c r="Q14" s="8">
        <v>4</v>
      </c>
      <c r="R14" s="8">
        <v>0</v>
      </c>
    </row>
    <row r="15" spans="1:18" ht="12.75">
      <c r="A15" s="8">
        <v>11</v>
      </c>
      <c r="B15" s="65" t="s">
        <v>68</v>
      </c>
      <c r="C15" s="9">
        <v>21</v>
      </c>
      <c r="D15" s="9">
        <v>119</v>
      </c>
      <c r="E15" s="12">
        <f>119/21</f>
        <v>5.666666666666667</v>
      </c>
      <c r="F15" s="13">
        <v>371</v>
      </c>
      <c r="G15" s="12">
        <f>371/21</f>
        <v>17.666666666666668</v>
      </c>
      <c r="H15" s="13">
        <v>47</v>
      </c>
      <c r="I15" s="12">
        <f>47/21</f>
        <v>2.238095238095238</v>
      </c>
      <c r="J15" s="9">
        <v>63</v>
      </c>
      <c r="K15" s="12">
        <f>63/21</f>
        <v>3</v>
      </c>
      <c r="L15" s="9">
        <v>42</v>
      </c>
      <c r="M15" s="11">
        <v>27</v>
      </c>
      <c r="N15" s="11">
        <v>69</v>
      </c>
      <c r="O15" s="12">
        <f>69/21</f>
        <v>3.2857142857142856</v>
      </c>
      <c r="P15" s="9">
        <v>7</v>
      </c>
      <c r="Q15" s="8">
        <v>4</v>
      </c>
      <c r="R15" s="8">
        <v>3</v>
      </c>
    </row>
    <row r="16" spans="1:18" ht="12.75">
      <c r="A16" s="8">
        <v>9</v>
      </c>
      <c r="B16" s="65" t="s">
        <v>39</v>
      </c>
      <c r="C16" s="9">
        <v>27</v>
      </c>
      <c r="D16" s="9">
        <v>327</v>
      </c>
      <c r="E16" s="12">
        <f>327/27</f>
        <v>12.11111111111111</v>
      </c>
      <c r="F16" s="70">
        <v>669</v>
      </c>
      <c r="G16" s="71">
        <f>669/26</f>
        <v>25.73076923076923</v>
      </c>
      <c r="H16" s="70">
        <v>59</v>
      </c>
      <c r="I16" s="71">
        <f>59/26</f>
        <v>2.269230769230769</v>
      </c>
      <c r="J16" s="72">
        <v>56</v>
      </c>
      <c r="K16" s="71">
        <f>56/26</f>
        <v>2.1538461538461537</v>
      </c>
      <c r="L16" s="72">
        <v>79</v>
      </c>
      <c r="M16" s="73">
        <v>8</v>
      </c>
      <c r="N16" s="73">
        <v>87</v>
      </c>
      <c r="O16" s="71">
        <f>87/26</f>
        <v>3.3461538461538463</v>
      </c>
      <c r="P16" s="72">
        <v>28</v>
      </c>
      <c r="Q16" s="72">
        <v>4</v>
      </c>
      <c r="R16" s="72">
        <v>7</v>
      </c>
    </row>
    <row r="17" spans="1:18" ht="12.75">
      <c r="A17" s="8">
        <v>4</v>
      </c>
      <c r="B17" s="65" t="s">
        <v>69</v>
      </c>
      <c r="C17" s="9">
        <v>25</v>
      </c>
      <c r="D17" s="9">
        <v>297</v>
      </c>
      <c r="E17" s="12">
        <f>297/25</f>
        <v>11.88</v>
      </c>
      <c r="F17" s="70">
        <v>640</v>
      </c>
      <c r="G17" s="71">
        <f>640/24</f>
        <v>26.666666666666668</v>
      </c>
      <c r="H17" s="70">
        <v>68</v>
      </c>
      <c r="I17" s="71">
        <f>6/24</f>
        <v>0.25</v>
      </c>
      <c r="J17" s="72">
        <v>77</v>
      </c>
      <c r="K17" s="71">
        <f>77/24</f>
        <v>3.2083333333333335</v>
      </c>
      <c r="L17" s="72">
        <v>87</v>
      </c>
      <c r="M17" s="73">
        <v>30</v>
      </c>
      <c r="N17" s="73">
        <v>117</v>
      </c>
      <c r="O17" s="71">
        <f>117/24</f>
        <v>4.875</v>
      </c>
      <c r="P17" s="72">
        <v>31</v>
      </c>
      <c r="Q17" s="72">
        <v>4</v>
      </c>
      <c r="R17" s="72">
        <v>3</v>
      </c>
    </row>
    <row r="18" spans="1:18" ht="12.75">
      <c r="A18" s="8">
        <v>18</v>
      </c>
      <c r="B18" s="21" t="s">
        <v>71</v>
      </c>
      <c r="C18" s="9">
        <v>12</v>
      </c>
      <c r="D18" s="9">
        <v>72</v>
      </c>
      <c r="E18" s="12">
        <f>72/12</f>
        <v>6</v>
      </c>
      <c r="F18" s="70">
        <v>170</v>
      </c>
      <c r="G18" s="71">
        <f>170/11</f>
        <v>15.454545454545455</v>
      </c>
      <c r="H18" s="70">
        <v>22</v>
      </c>
      <c r="I18" s="71">
        <f>22/11</f>
        <v>2</v>
      </c>
      <c r="J18" s="72">
        <v>12</v>
      </c>
      <c r="K18" s="71">
        <f>12/11</f>
        <v>1.0909090909090908</v>
      </c>
      <c r="L18" s="72">
        <v>25</v>
      </c>
      <c r="M18" s="73">
        <v>11</v>
      </c>
      <c r="N18" s="73">
        <v>36</v>
      </c>
      <c r="O18" s="71">
        <f>35/11</f>
        <v>3.1818181818181817</v>
      </c>
      <c r="P18" s="72">
        <v>2</v>
      </c>
      <c r="Q18" s="72">
        <v>6</v>
      </c>
      <c r="R18" s="72">
        <v>2</v>
      </c>
    </row>
    <row r="19" spans="1:18" ht="12.75">
      <c r="A19" s="8">
        <v>13</v>
      </c>
      <c r="B19" s="21" t="s">
        <v>72</v>
      </c>
      <c r="C19" s="9">
        <v>22</v>
      </c>
      <c r="D19" s="9">
        <v>120</v>
      </c>
      <c r="E19" s="12">
        <f>120/22</f>
        <v>5.454545454545454</v>
      </c>
      <c r="F19" s="13">
        <v>431</v>
      </c>
      <c r="G19" s="12">
        <f>431/22</f>
        <v>19.59090909090909</v>
      </c>
      <c r="H19" s="13">
        <v>52</v>
      </c>
      <c r="I19" s="12">
        <f>52/22</f>
        <v>2.3636363636363638</v>
      </c>
      <c r="J19" s="9">
        <v>69</v>
      </c>
      <c r="K19" s="12">
        <f>69/22</f>
        <v>3.1363636363636362</v>
      </c>
      <c r="L19" s="9">
        <v>66</v>
      </c>
      <c r="M19" s="11">
        <v>55</v>
      </c>
      <c r="N19" s="11">
        <v>121</v>
      </c>
      <c r="O19" s="12">
        <f>121/22</f>
        <v>5.5</v>
      </c>
      <c r="P19" s="9">
        <v>9</v>
      </c>
      <c r="Q19" s="8">
        <v>5</v>
      </c>
      <c r="R19" s="8">
        <v>5</v>
      </c>
    </row>
    <row r="20" spans="1:18" ht="12.75">
      <c r="A20" s="8">
        <v>17</v>
      </c>
      <c r="B20" s="21" t="s">
        <v>73</v>
      </c>
      <c r="C20" s="9">
        <v>10</v>
      </c>
      <c r="D20" s="9">
        <v>27</v>
      </c>
      <c r="E20" s="12">
        <f>27/10</f>
        <v>2.7</v>
      </c>
      <c r="F20" s="70">
        <v>125</v>
      </c>
      <c r="G20" s="71">
        <f>125/9</f>
        <v>13.88888888888889</v>
      </c>
      <c r="H20" s="70">
        <v>18</v>
      </c>
      <c r="I20" s="71">
        <f>18/9</f>
        <v>2</v>
      </c>
      <c r="J20" s="72">
        <v>11</v>
      </c>
      <c r="K20" s="71">
        <f>11/9</f>
        <v>1.2222222222222223</v>
      </c>
      <c r="L20" s="72">
        <v>25</v>
      </c>
      <c r="M20" s="73">
        <v>13</v>
      </c>
      <c r="N20" s="73">
        <v>38</v>
      </c>
      <c r="O20" s="71">
        <f>38/9</f>
        <v>4.222222222222222</v>
      </c>
      <c r="P20" s="72">
        <v>4</v>
      </c>
      <c r="Q20" s="72">
        <v>3</v>
      </c>
      <c r="R20" s="72">
        <v>0</v>
      </c>
    </row>
    <row r="21" spans="1:18" ht="12.75">
      <c r="A21" s="8">
        <v>32</v>
      </c>
      <c r="B21" s="21" t="s">
        <v>110</v>
      </c>
      <c r="C21" s="9">
        <v>3</v>
      </c>
      <c r="D21" s="9">
        <v>17</v>
      </c>
      <c r="E21" s="12">
        <f>17/3</f>
        <v>5.666666666666667</v>
      </c>
      <c r="F21" s="13">
        <v>40</v>
      </c>
      <c r="G21" s="12">
        <f>40/3</f>
        <v>13.333333333333334</v>
      </c>
      <c r="H21" s="9">
        <v>7</v>
      </c>
      <c r="I21" s="12">
        <f>7/3</f>
        <v>2.3333333333333335</v>
      </c>
      <c r="J21" s="8">
        <v>10</v>
      </c>
      <c r="K21" s="20">
        <f>10/3</f>
        <v>3.3333333333333335</v>
      </c>
      <c r="L21" s="8">
        <v>8</v>
      </c>
      <c r="M21" s="19">
        <v>6</v>
      </c>
      <c r="N21" s="19">
        <v>14</v>
      </c>
      <c r="O21" s="20">
        <f>14/3</f>
        <v>4.666666666666667</v>
      </c>
      <c r="P21" s="9">
        <v>2</v>
      </c>
      <c r="Q21" s="8">
        <v>0</v>
      </c>
      <c r="R21" s="8">
        <v>0</v>
      </c>
    </row>
    <row r="22" spans="1:18" ht="12.75">
      <c r="A22" s="4" t="s">
        <v>14</v>
      </c>
      <c r="B22" s="4" t="s">
        <v>15</v>
      </c>
      <c r="C22" s="4" t="s">
        <v>28</v>
      </c>
      <c r="D22" s="4" t="s">
        <v>29</v>
      </c>
      <c r="E22" s="4" t="s">
        <v>30</v>
      </c>
      <c r="F22" s="4" t="s">
        <v>2</v>
      </c>
      <c r="G22" s="4" t="s">
        <v>3</v>
      </c>
      <c r="H22" s="4" t="s">
        <v>4</v>
      </c>
      <c r="I22" s="4" t="s">
        <v>8</v>
      </c>
      <c r="J22" s="4" t="s">
        <v>25</v>
      </c>
      <c r="K22" s="5" t="s">
        <v>31</v>
      </c>
      <c r="L22" s="4" t="s">
        <v>25</v>
      </c>
      <c r="M22" s="22" t="s">
        <v>32</v>
      </c>
      <c r="N22" s="23"/>
      <c r="O22" s="7" t="s">
        <v>33</v>
      </c>
      <c r="P22" s="24" t="s">
        <v>25</v>
      </c>
      <c r="Q22" s="8" t="s">
        <v>49</v>
      </c>
      <c r="R22" s="8" t="s">
        <v>48</v>
      </c>
    </row>
    <row r="23" spans="1:18" ht="12.75">
      <c r="A23" s="8">
        <v>10</v>
      </c>
      <c r="B23" s="65" t="s">
        <v>55</v>
      </c>
      <c r="C23" s="16" t="s">
        <v>150</v>
      </c>
      <c r="D23" s="27">
        <f>10/13</f>
        <v>0.7692307692307693</v>
      </c>
      <c r="E23" s="16" t="s">
        <v>151</v>
      </c>
      <c r="F23" s="27">
        <f>9/24</f>
        <v>0.375</v>
      </c>
      <c r="G23" s="16" t="s">
        <v>152</v>
      </c>
      <c r="H23" s="27">
        <f>4/12</f>
        <v>0.3333333333333333</v>
      </c>
      <c r="I23" s="17">
        <v>32</v>
      </c>
      <c r="J23" s="28">
        <f>32/12</f>
        <v>2.6666666666666665</v>
      </c>
      <c r="K23" s="29">
        <v>27</v>
      </c>
      <c r="L23" s="28">
        <f>27/12</f>
        <v>2.25</v>
      </c>
      <c r="M23" s="30"/>
      <c r="N23" s="31">
        <v>-5</v>
      </c>
      <c r="O23" s="1">
        <v>33</v>
      </c>
      <c r="P23" s="25">
        <f>33/12</f>
        <v>2.75</v>
      </c>
      <c r="Q23" s="1">
        <v>0</v>
      </c>
      <c r="R23">
        <v>0</v>
      </c>
    </row>
    <row r="24" spans="1:18" ht="12.75">
      <c r="A24" s="8">
        <v>12</v>
      </c>
      <c r="B24" s="65" t="s">
        <v>53</v>
      </c>
      <c r="C24" s="13" t="s">
        <v>147</v>
      </c>
      <c r="D24" s="18">
        <f>19/26</f>
        <v>0.7307692307692307</v>
      </c>
      <c r="E24" s="13" t="s">
        <v>148</v>
      </c>
      <c r="F24" s="18">
        <f>22/40</f>
        <v>0.55</v>
      </c>
      <c r="G24" s="13" t="s">
        <v>149</v>
      </c>
      <c r="H24" s="18">
        <f>9/35</f>
        <v>0.2571428571428571</v>
      </c>
      <c r="I24" s="9">
        <v>25</v>
      </c>
      <c r="J24" s="12">
        <f>25/14</f>
        <v>1.7857142857142858</v>
      </c>
      <c r="K24" s="11">
        <v>40</v>
      </c>
      <c r="L24" s="12">
        <f>40/14</f>
        <v>2.857142857142857</v>
      </c>
      <c r="M24" s="25"/>
      <c r="N24" s="26">
        <v>15</v>
      </c>
      <c r="O24" s="1">
        <v>112</v>
      </c>
      <c r="P24" s="25">
        <f>112/14</f>
        <v>8</v>
      </c>
      <c r="Q24" s="1">
        <v>0</v>
      </c>
      <c r="R24">
        <v>0</v>
      </c>
    </row>
    <row r="25" spans="1:18" ht="12.75">
      <c r="A25" s="8">
        <v>5</v>
      </c>
      <c r="B25" s="65" t="s">
        <v>51</v>
      </c>
      <c r="C25" s="13" t="s">
        <v>100</v>
      </c>
      <c r="D25" s="18">
        <f>3/6</f>
        <v>0.5</v>
      </c>
      <c r="E25" s="13" t="s">
        <v>60</v>
      </c>
      <c r="F25" s="18">
        <f>2/5</f>
        <v>0.4</v>
      </c>
      <c r="G25" s="13" t="s">
        <v>62</v>
      </c>
      <c r="H25" s="18">
        <f>1/8</f>
        <v>0.125</v>
      </c>
      <c r="I25" s="9">
        <v>9</v>
      </c>
      <c r="J25" s="12">
        <f>9/10</f>
        <v>0.9</v>
      </c>
      <c r="K25" s="11">
        <v>5</v>
      </c>
      <c r="L25" s="12">
        <f>5/10</f>
        <v>0.5</v>
      </c>
      <c r="M25" s="25"/>
      <c r="N25" s="26">
        <v>-4</v>
      </c>
      <c r="O25" s="1">
        <v>-4</v>
      </c>
      <c r="P25" s="25">
        <f>-4/10</f>
        <v>-0.4</v>
      </c>
      <c r="Q25" s="1">
        <v>0</v>
      </c>
      <c r="R25">
        <v>0</v>
      </c>
    </row>
    <row r="26" spans="1:18" ht="12.75">
      <c r="A26" s="8">
        <v>16</v>
      </c>
      <c r="B26" s="65" t="s">
        <v>56</v>
      </c>
      <c r="C26" s="13" t="s">
        <v>59</v>
      </c>
      <c r="D26" s="18">
        <f>2/2</f>
        <v>1</v>
      </c>
      <c r="E26" s="16" t="s">
        <v>60</v>
      </c>
      <c r="F26" s="18">
        <f>2/5</f>
        <v>0.4</v>
      </c>
      <c r="G26" s="13" t="s">
        <v>61</v>
      </c>
      <c r="H26" s="18">
        <f>2/3</f>
        <v>0.6666666666666666</v>
      </c>
      <c r="I26" s="9">
        <v>4</v>
      </c>
      <c r="J26" s="12">
        <f>4/2</f>
        <v>2</v>
      </c>
      <c r="K26" s="11">
        <v>5</v>
      </c>
      <c r="L26" s="12">
        <f>5/2</f>
        <v>2.5</v>
      </c>
      <c r="M26" s="25"/>
      <c r="N26" s="26">
        <v>1</v>
      </c>
      <c r="O26" s="3">
        <v>17</v>
      </c>
      <c r="P26" s="25">
        <f>17/2</f>
        <v>8.5</v>
      </c>
      <c r="Q26" s="3">
        <v>0</v>
      </c>
      <c r="R26">
        <v>0</v>
      </c>
    </row>
    <row r="27" spans="1:18" ht="12.75">
      <c r="A27" s="8">
        <v>21</v>
      </c>
      <c r="B27" s="65" t="s">
        <v>57</v>
      </c>
      <c r="C27" s="13" t="s">
        <v>101</v>
      </c>
      <c r="D27" s="18">
        <f>19/30</f>
        <v>0.6333333333333333</v>
      </c>
      <c r="E27" s="13" t="s">
        <v>102</v>
      </c>
      <c r="F27" s="18">
        <f>5/26</f>
        <v>0.19230769230769232</v>
      </c>
      <c r="G27" s="13" t="s">
        <v>103</v>
      </c>
      <c r="H27" s="18">
        <f>5/17</f>
        <v>0.29411764705882354</v>
      </c>
      <c r="I27" s="9">
        <v>25</v>
      </c>
      <c r="J27" s="12">
        <f>25/7</f>
        <v>3.5714285714285716</v>
      </c>
      <c r="K27" s="11">
        <v>19</v>
      </c>
      <c r="L27" s="12">
        <f>19/7</f>
        <v>2.7142857142857144</v>
      </c>
      <c r="M27" s="25"/>
      <c r="N27" s="26">
        <v>-6</v>
      </c>
      <c r="O27" s="3">
        <v>59</v>
      </c>
      <c r="P27" s="25">
        <f>59/7</f>
        <v>8.428571428571429</v>
      </c>
      <c r="Q27" s="3">
        <v>1</v>
      </c>
      <c r="R27">
        <v>1</v>
      </c>
    </row>
    <row r="28" spans="1:18" ht="12.75">
      <c r="A28" s="8">
        <v>8</v>
      </c>
      <c r="B28" s="65" t="s">
        <v>38</v>
      </c>
      <c r="C28" s="70" t="s">
        <v>153</v>
      </c>
      <c r="D28" s="74">
        <f>56/84</f>
        <v>0.6666666666666666</v>
      </c>
      <c r="E28" s="70" t="s">
        <v>154</v>
      </c>
      <c r="F28" s="74">
        <f>62/140</f>
        <v>0.44285714285714284</v>
      </c>
      <c r="G28" s="70" t="s">
        <v>63</v>
      </c>
      <c r="H28" s="74">
        <f>1/5</f>
        <v>0.2</v>
      </c>
      <c r="I28" s="72">
        <v>56</v>
      </c>
      <c r="J28" s="71">
        <f>56/22</f>
        <v>2.5454545454545454</v>
      </c>
      <c r="K28" s="73">
        <v>49</v>
      </c>
      <c r="L28" s="71">
        <f>49/22</f>
        <v>2.227272727272727</v>
      </c>
      <c r="M28" s="75"/>
      <c r="N28" s="76">
        <v>-7</v>
      </c>
      <c r="O28" s="77">
        <v>153</v>
      </c>
      <c r="P28" s="75">
        <f>153/22</f>
        <v>6.954545454545454</v>
      </c>
      <c r="Q28" s="3">
        <v>2</v>
      </c>
      <c r="R28">
        <v>0</v>
      </c>
    </row>
    <row r="29" spans="1:18" ht="12.75">
      <c r="A29" s="8">
        <v>6</v>
      </c>
      <c r="B29" s="65" t="s">
        <v>64</v>
      </c>
      <c r="C29" s="70" t="s">
        <v>104</v>
      </c>
      <c r="D29" s="74">
        <f>15/20</f>
        <v>0.75</v>
      </c>
      <c r="E29" s="70" t="s">
        <v>105</v>
      </c>
      <c r="F29" s="74">
        <f>19/33</f>
        <v>0.5757575757575758</v>
      </c>
      <c r="G29" s="70" t="s">
        <v>106</v>
      </c>
      <c r="H29" s="74">
        <f>0/10</f>
        <v>0</v>
      </c>
      <c r="I29" s="72">
        <v>26</v>
      </c>
      <c r="J29" s="71">
        <f>26/15</f>
        <v>1.7333333333333334</v>
      </c>
      <c r="K29" s="73">
        <v>30</v>
      </c>
      <c r="L29" s="71">
        <f>30/15</f>
        <v>2</v>
      </c>
      <c r="M29" s="75"/>
      <c r="N29" s="76">
        <v>4</v>
      </c>
      <c r="O29" s="77">
        <v>86</v>
      </c>
      <c r="P29" s="75">
        <f>86/15</f>
        <v>5.733333333333333</v>
      </c>
      <c r="Q29" s="3">
        <v>1</v>
      </c>
      <c r="R29">
        <v>0</v>
      </c>
    </row>
    <row r="30" spans="1:18" ht="12.75">
      <c r="A30" s="8">
        <v>7</v>
      </c>
      <c r="B30" s="65" t="s">
        <v>27</v>
      </c>
      <c r="C30" s="70" t="s">
        <v>155</v>
      </c>
      <c r="D30" s="74">
        <f>40/54</f>
        <v>0.7407407407407407</v>
      </c>
      <c r="E30" s="70" t="s">
        <v>156</v>
      </c>
      <c r="F30" s="74">
        <f>36/80</f>
        <v>0.45</v>
      </c>
      <c r="G30" s="70" t="s">
        <v>157</v>
      </c>
      <c r="H30" s="74">
        <f>61/143</f>
        <v>0.42657342657342656</v>
      </c>
      <c r="I30" s="72">
        <v>31</v>
      </c>
      <c r="J30" s="71">
        <f>31/24</f>
        <v>1.2916666666666667</v>
      </c>
      <c r="K30" s="73">
        <v>35</v>
      </c>
      <c r="L30" s="71">
        <f>35/24</f>
        <v>1.4583333333333333</v>
      </c>
      <c r="M30" s="75"/>
      <c r="N30" s="76">
        <v>4</v>
      </c>
      <c r="O30" s="77">
        <v>193</v>
      </c>
      <c r="P30" s="75">
        <f>193/24</f>
        <v>8.041666666666666</v>
      </c>
      <c r="Q30" s="3">
        <v>2</v>
      </c>
      <c r="R30">
        <v>0</v>
      </c>
    </row>
    <row r="31" spans="1:18" ht="12.75">
      <c r="A31" s="8">
        <v>40</v>
      </c>
      <c r="B31" s="65" t="s">
        <v>107</v>
      </c>
      <c r="C31" s="13" t="s">
        <v>54</v>
      </c>
      <c r="D31" s="18">
        <v>0</v>
      </c>
      <c r="E31" s="13" t="s">
        <v>58</v>
      </c>
      <c r="F31" s="18">
        <f>1/6</f>
        <v>0.16666666666666666</v>
      </c>
      <c r="G31" s="13" t="s">
        <v>108</v>
      </c>
      <c r="H31" s="18">
        <f>0/1</f>
        <v>0</v>
      </c>
      <c r="I31" s="9">
        <v>4</v>
      </c>
      <c r="J31" s="12">
        <f>4/1</f>
        <v>4</v>
      </c>
      <c r="K31" s="11">
        <v>0</v>
      </c>
      <c r="L31" s="12">
        <f>0/1</f>
        <v>0</v>
      </c>
      <c r="M31" s="25"/>
      <c r="N31" s="26">
        <v>-4</v>
      </c>
      <c r="O31" s="3">
        <v>-5</v>
      </c>
      <c r="P31" s="25">
        <f>-5/1</f>
        <v>-5</v>
      </c>
      <c r="Q31" s="3">
        <v>0</v>
      </c>
      <c r="R31">
        <v>0</v>
      </c>
    </row>
    <row r="32" spans="1:18" ht="12.75">
      <c r="A32" s="8">
        <v>24</v>
      </c>
      <c r="B32" s="65" t="s">
        <v>65</v>
      </c>
      <c r="C32" s="13" t="s">
        <v>158</v>
      </c>
      <c r="D32" s="18">
        <f>27/49</f>
        <v>0.5510204081632653</v>
      </c>
      <c r="E32" s="13" t="s">
        <v>159</v>
      </c>
      <c r="F32" s="18">
        <f>31/68</f>
        <v>0.45588235294117646</v>
      </c>
      <c r="G32" s="13" t="s">
        <v>160</v>
      </c>
      <c r="H32" s="18">
        <f>8/22</f>
        <v>0.36363636363636365</v>
      </c>
      <c r="I32" s="9">
        <v>26</v>
      </c>
      <c r="J32" s="12">
        <f>26/19</f>
        <v>1.368421052631579</v>
      </c>
      <c r="K32" s="11">
        <v>40</v>
      </c>
      <c r="L32" s="12">
        <f>40/19</f>
        <v>2.1052631578947367</v>
      </c>
      <c r="M32" s="25"/>
      <c r="N32" s="26">
        <v>14</v>
      </c>
      <c r="O32" s="3">
        <v>120</v>
      </c>
      <c r="P32" s="25">
        <f>120/19</f>
        <v>6.315789473684211</v>
      </c>
      <c r="Q32" s="3">
        <v>0</v>
      </c>
      <c r="R32">
        <v>0</v>
      </c>
    </row>
    <row r="33" spans="1:18" ht="12.75">
      <c r="A33" s="8">
        <v>19</v>
      </c>
      <c r="B33" s="65" t="s">
        <v>66</v>
      </c>
      <c r="C33" s="70" t="s">
        <v>54</v>
      </c>
      <c r="D33" s="74">
        <v>0</v>
      </c>
      <c r="E33" s="70" t="s">
        <v>60</v>
      </c>
      <c r="F33" s="74">
        <f>2/5</f>
        <v>0.4</v>
      </c>
      <c r="G33" s="70" t="s">
        <v>109</v>
      </c>
      <c r="H33" s="74">
        <f>1/1</f>
        <v>1</v>
      </c>
      <c r="I33" s="72">
        <v>1</v>
      </c>
      <c r="J33" s="71">
        <f>1/2</f>
        <v>0.5</v>
      </c>
      <c r="K33" s="73">
        <v>0</v>
      </c>
      <c r="L33" s="71">
        <f>0/2</f>
        <v>0</v>
      </c>
      <c r="M33" s="75"/>
      <c r="N33" s="76">
        <v>-1</v>
      </c>
      <c r="O33" s="77">
        <v>3</v>
      </c>
      <c r="P33" s="75">
        <f>3/2</f>
        <v>1.5</v>
      </c>
      <c r="Q33" s="3">
        <v>0</v>
      </c>
      <c r="R33">
        <v>0</v>
      </c>
    </row>
    <row r="34" spans="1:18" ht="12.75">
      <c r="A34" s="8">
        <v>20</v>
      </c>
      <c r="B34" s="65" t="s">
        <v>50</v>
      </c>
      <c r="C34" s="13" t="s">
        <v>54</v>
      </c>
      <c r="D34" s="18">
        <v>0</v>
      </c>
      <c r="E34" s="13" t="s">
        <v>54</v>
      </c>
      <c r="F34" s="18">
        <v>0</v>
      </c>
      <c r="G34" s="13" t="s">
        <v>54</v>
      </c>
      <c r="H34" s="18">
        <v>0</v>
      </c>
      <c r="I34" s="9">
        <v>0</v>
      </c>
      <c r="J34" s="12">
        <v>0</v>
      </c>
      <c r="K34" s="11">
        <v>0</v>
      </c>
      <c r="L34" s="12">
        <v>0</v>
      </c>
      <c r="M34" s="25"/>
      <c r="N34" s="26">
        <v>0</v>
      </c>
      <c r="O34" s="1">
        <v>0</v>
      </c>
      <c r="P34" s="25">
        <v>0</v>
      </c>
      <c r="Q34" s="3">
        <v>0</v>
      </c>
      <c r="R34">
        <v>0</v>
      </c>
    </row>
    <row r="35" spans="1:18" ht="12.75">
      <c r="A35" s="8">
        <v>15</v>
      </c>
      <c r="B35" s="65" t="s">
        <v>67</v>
      </c>
      <c r="C35" s="13" t="s">
        <v>161</v>
      </c>
      <c r="D35" s="18">
        <f>16/24</f>
        <v>0.6666666666666666</v>
      </c>
      <c r="E35" s="13" t="s">
        <v>162</v>
      </c>
      <c r="F35" s="18">
        <f>14/27</f>
        <v>0.5185185185185185</v>
      </c>
      <c r="G35" s="13" t="s">
        <v>163</v>
      </c>
      <c r="H35" s="18">
        <f>1/7</f>
        <v>0.14285714285714285</v>
      </c>
      <c r="I35" s="9">
        <v>14</v>
      </c>
      <c r="J35" s="12">
        <f>14/11</f>
        <v>1.2727272727272727</v>
      </c>
      <c r="K35" s="11">
        <v>12</v>
      </c>
      <c r="L35" s="12">
        <f>12/11</f>
        <v>1.0909090909090908</v>
      </c>
      <c r="M35" s="25"/>
      <c r="N35" s="26">
        <v>-2</v>
      </c>
      <c r="O35" s="1">
        <v>64</v>
      </c>
      <c r="P35" s="25">
        <f>64/11</f>
        <v>5.818181818181818</v>
      </c>
      <c r="Q35" s="3">
        <v>0</v>
      </c>
      <c r="R35">
        <v>0</v>
      </c>
    </row>
    <row r="36" spans="1:18" ht="12.75">
      <c r="A36" s="8">
        <v>11</v>
      </c>
      <c r="B36" s="65" t="s">
        <v>68</v>
      </c>
      <c r="C36" s="13" t="s">
        <v>167</v>
      </c>
      <c r="D36" s="18">
        <f>41/63</f>
        <v>0.6507936507936508</v>
      </c>
      <c r="E36" s="13" t="s">
        <v>168</v>
      </c>
      <c r="F36" s="18">
        <f>39/101</f>
        <v>0.38613861386138615</v>
      </c>
      <c r="G36" s="13" t="s">
        <v>70</v>
      </c>
      <c r="H36" s="18">
        <v>0</v>
      </c>
      <c r="I36" s="9">
        <v>32</v>
      </c>
      <c r="J36" s="12">
        <f>32/21</f>
        <v>1.5238095238095237</v>
      </c>
      <c r="K36" s="11">
        <v>38</v>
      </c>
      <c r="L36" s="12">
        <f>38/21</f>
        <v>1.8095238095238095</v>
      </c>
      <c r="M36" s="25"/>
      <c r="N36" s="26">
        <v>6</v>
      </c>
      <c r="O36" s="3">
        <v>129</v>
      </c>
      <c r="P36" s="25">
        <f>129/21</f>
        <v>6.142857142857143</v>
      </c>
      <c r="Q36" s="3">
        <v>0</v>
      </c>
      <c r="R36">
        <v>0</v>
      </c>
    </row>
    <row r="37" spans="1:18" ht="12.75">
      <c r="A37" s="8">
        <v>9</v>
      </c>
      <c r="B37" s="65" t="s">
        <v>39</v>
      </c>
      <c r="C37" s="70" t="s">
        <v>164</v>
      </c>
      <c r="D37" s="74">
        <f>62/87</f>
        <v>0.7126436781609196</v>
      </c>
      <c r="E37" s="70" t="s">
        <v>165</v>
      </c>
      <c r="F37" s="74">
        <f>60/142</f>
        <v>0.4225352112676056</v>
      </c>
      <c r="G37" s="70" t="s">
        <v>166</v>
      </c>
      <c r="H37" s="74">
        <f>43/106</f>
        <v>0.4056603773584906</v>
      </c>
      <c r="I37" s="72">
        <v>61</v>
      </c>
      <c r="J37" s="71">
        <f>61/26</f>
        <v>2.3461538461538463</v>
      </c>
      <c r="K37" s="73">
        <v>85</v>
      </c>
      <c r="L37" s="71">
        <f>86/26</f>
        <v>3.3076923076923075</v>
      </c>
      <c r="M37" s="75"/>
      <c r="N37" s="76">
        <v>24</v>
      </c>
      <c r="O37" s="77">
        <v>274</v>
      </c>
      <c r="P37" s="75">
        <f>274/26</f>
        <v>10.538461538461538</v>
      </c>
      <c r="Q37" s="3">
        <v>2</v>
      </c>
      <c r="R37">
        <v>0</v>
      </c>
    </row>
    <row r="38" spans="1:18" ht="12.75">
      <c r="A38" s="8">
        <v>4</v>
      </c>
      <c r="B38" s="65" t="s">
        <v>69</v>
      </c>
      <c r="C38" s="70" t="s">
        <v>169</v>
      </c>
      <c r="D38" s="74">
        <f>47/79</f>
        <v>0.5949367088607594</v>
      </c>
      <c r="E38" s="70" t="s">
        <v>170</v>
      </c>
      <c r="F38" s="74">
        <f>66/151</f>
        <v>0.4370860927152318</v>
      </c>
      <c r="G38" s="70" t="s">
        <v>171</v>
      </c>
      <c r="H38" s="74">
        <f>34/93</f>
        <v>0.3655913978494624</v>
      </c>
      <c r="I38" s="72">
        <v>51</v>
      </c>
      <c r="J38" s="71">
        <f>51/24</f>
        <v>2.125</v>
      </c>
      <c r="K38" s="73">
        <v>49</v>
      </c>
      <c r="L38" s="71">
        <f>49/24</f>
        <v>2.0416666666666665</v>
      </c>
      <c r="M38" s="75"/>
      <c r="N38" s="76">
        <v>-2</v>
      </c>
      <c r="O38" s="77">
        <v>258</v>
      </c>
      <c r="P38" s="75">
        <f>258/24</f>
        <v>10.75</v>
      </c>
      <c r="Q38" s="3">
        <v>2</v>
      </c>
      <c r="R38">
        <v>0</v>
      </c>
    </row>
    <row r="39" spans="1:18" ht="12.75">
      <c r="A39" s="8">
        <v>18</v>
      </c>
      <c r="B39" s="21" t="s">
        <v>71</v>
      </c>
      <c r="C39" s="70" t="s">
        <v>74</v>
      </c>
      <c r="D39" s="74">
        <f>8/13</f>
        <v>0.6153846153846154</v>
      </c>
      <c r="E39" s="70" t="s">
        <v>75</v>
      </c>
      <c r="F39" s="74">
        <f>28/49</f>
        <v>0.5714285714285714</v>
      </c>
      <c r="G39" s="70" t="s">
        <v>54</v>
      </c>
      <c r="H39" s="74">
        <v>0</v>
      </c>
      <c r="I39" s="72">
        <v>10</v>
      </c>
      <c r="J39" s="71">
        <f>10/11</f>
        <v>0.9090909090909091</v>
      </c>
      <c r="K39" s="73">
        <v>11</v>
      </c>
      <c r="L39" s="71">
        <f>11/11</f>
        <v>1</v>
      </c>
      <c r="M39" s="75"/>
      <c r="N39" s="76">
        <v>1</v>
      </c>
      <c r="O39" s="77">
        <v>71</v>
      </c>
      <c r="P39" s="75">
        <f>71/11</f>
        <v>6.454545454545454</v>
      </c>
      <c r="Q39" s="3">
        <v>0</v>
      </c>
      <c r="R39">
        <v>0</v>
      </c>
    </row>
    <row r="40" spans="1:18" ht="12.75">
      <c r="A40" s="8">
        <v>13</v>
      </c>
      <c r="B40" s="21" t="s">
        <v>72</v>
      </c>
      <c r="C40" s="13" t="s">
        <v>159</v>
      </c>
      <c r="D40" s="18">
        <f>31/68</f>
        <v>0.45588235294117646</v>
      </c>
      <c r="E40" s="13" t="s">
        <v>172</v>
      </c>
      <c r="F40" s="18">
        <f>43/89</f>
        <v>0.48314606741573035</v>
      </c>
      <c r="G40" s="13" t="s">
        <v>109</v>
      </c>
      <c r="H40" s="18">
        <f>1/1</f>
        <v>1</v>
      </c>
      <c r="I40" s="9">
        <v>23</v>
      </c>
      <c r="J40" s="12">
        <f>23/22</f>
        <v>1.0454545454545454</v>
      </c>
      <c r="K40" s="11">
        <v>22</v>
      </c>
      <c r="L40" s="12">
        <f>22/22</f>
        <v>1</v>
      </c>
      <c r="M40" s="12"/>
      <c r="N40" s="32">
        <v>-1</v>
      </c>
      <c r="O40" s="42">
        <v>185</v>
      </c>
      <c r="P40" s="25">
        <f>185/22</f>
        <v>8.409090909090908</v>
      </c>
      <c r="Q40" s="1">
        <v>3</v>
      </c>
      <c r="R40">
        <v>0</v>
      </c>
    </row>
    <row r="41" spans="1:18" ht="12.75">
      <c r="A41" s="8">
        <v>17</v>
      </c>
      <c r="B41" s="21" t="s">
        <v>73</v>
      </c>
      <c r="C41" s="70" t="s">
        <v>173</v>
      </c>
      <c r="D41" s="74">
        <f>9/12</f>
        <v>0.75</v>
      </c>
      <c r="E41" s="70" t="s">
        <v>111</v>
      </c>
      <c r="F41" s="74">
        <f>6/13</f>
        <v>0.46153846153846156</v>
      </c>
      <c r="G41" s="70" t="s">
        <v>54</v>
      </c>
      <c r="H41" s="80">
        <v>0</v>
      </c>
      <c r="I41" s="70">
        <v>5</v>
      </c>
      <c r="J41" s="71">
        <f>5/9</f>
        <v>0.5555555555555556</v>
      </c>
      <c r="K41" s="81">
        <v>11</v>
      </c>
      <c r="L41" s="71">
        <f>11/9</f>
        <v>1.2222222222222223</v>
      </c>
      <c r="M41" s="71"/>
      <c r="N41" s="82">
        <v>6</v>
      </c>
      <c r="O41" s="83">
        <v>55</v>
      </c>
      <c r="P41" s="75">
        <f>55/9</f>
        <v>6.111111111111111</v>
      </c>
      <c r="Q41" s="1">
        <v>1</v>
      </c>
      <c r="R41">
        <v>0</v>
      </c>
    </row>
    <row r="42" spans="1:18" ht="12.75">
      <c r="A42" s="8">
        <v>32</v>
      </c>
      <c r="B42" s="21" t="s">
        <v>110</v>
      </c>
      <c r="C42" s="13" t="s">
        <v>112</v>
      </c>
      <c r="D42" s="18">
        <f>5/12</f>
        <v>0.4166666666666667</v>
      </c>
      <c r="E42" s="13" t="s">
        <v>113</v>
      </c>
      <c r="F42" s="18">
        <f>3/7</f>
        <v>0.42857142857142855</v>
      </c>
      <c r="G42" s="13" t="s">
        <v>114</v>
      </c>
      <c r="H42" s="18">
        <f>2/7</f>
        <v>0.2857142857142857</v>
      </c>
      <c r="I42" s="9">
        <v>1</v>
      </c>
      <c r="J42" s="12">
        <f>1/3</f>
        <v>0.3333333333333333</v>
      </c>
      <c r="K42" s="11">
        <v>1</v>
      </c>
      <c r="L42" s="12">
        <f>1/3</f>
        <v>0.3333333333333333</v>
      </c>
      <c r="M42" s="12"/>
      <c r="N42" s="32">
        <v>0</v>
      </c>
      <c r="O42" s="3">
        <v>20</v>
      </c>
      <c r="P42" s="25">
        <f>20/3</f>
        <v>6.666666666666667</v>
      </c>
      <c r="Q42" s="1">
        <v>0</v>
      </c>
      <c r="R42">
        <v>0</v>
      </c>
    </row>
    <row r="43" spans="3:17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2014-04-20T10:28:26Z</cp:lastPrinted>
  <dcterms:created xsi:type="dcterms:W3CDTF">2007-11-12T19:51:33Z</dcterms:created>
  <dcterms:modified xsi:type="dcterms:W3CDTF">2014-04-20T20:01:36Z</dcterms:modified>
  <cp:category/>
  <cp:version/>
  <cp:contentType/>
  <cp:contentStatus/>
</cp:coreProperties>
</file>